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980" yWindow="-135" windowWidth="9945" windowHeight="7875" firstSheet="1" activeTab="3"/>
  </bookViews>
  <sheets>
    <sheet name="Istruzioni" sheetId="2" r:id="rId1"/>
    <sheet name="FOGLIO RACCOLTA DATI DI CONSUMO" sheetId="8" r:id="rId2"/>
    <sheet name="calcolo bolletta SOLO CONSULTAZ" sheetId="5" r:id="rId3"/>
    <sheet name="Redditività" sheetId="1" r:id="rId4"/>
    <sheet name="GUIDA dimensionamento ACCUMULO" sheetId="4" r:id="rId5"/>
    <sheet name="gamma celle" sheetId="6" r:id="rId6"/>
  </sheets>
  <externalReferences>
    <externalReference r:id="rId7"/>
  </externalReferences>
  <definedNames>
    <definedName name="_xlnm.Print_Area" localSheetId="2">'calcolo bolletta SOLO CONSULTAZ'!$A$1:$N$27</definedName>
    <definedName name="_xlnm.Print_Area" localSheetId="1">'FOGLIO RACCOLTA DATI DI CONSUMO'!$A$1:$E$35</definedName>
    <definedName name="_xlnm.Print_Area" localSheetId="5">'gamma celle'!$A$1:$P$24</definedName>
    <definedName name="_xlnm.Print_Area" localSheetId="4">'GUIDA dimensionamento ACCUMULO'!$A$1:$D$75</definedName>
    <definedName name="_xlnm.Print_Area" localSheetId="0">Istruzioni!$A$1:$D$90</definedName>
    <definedName name="_xlnm.Print_Area" localSheetId="3">Redditività!$A$1:$E$61</definedName>
    <definedName name="_xlnm.Criteria" localSheetId="5">'gamma celle'!#REF!</definedName>
    <definedName name="_xlnm.Criteria" localSheetId="0">Istruzioni!#REF!</definedName>
    <definedName name="_xlnm.Criteria" localSheetId="3">Redditività!#REF!</definedName>
  </definedNames>
  <calcPr calcId="124519"/>
</workbook>
</file>

<file path=xl/calcChain.xml><?xml version="1.0" encoding="utf-8"?>
<calcChain xmlns="http://schemas.openxmlformats.org/spreadsheetml/2006/main">
  <c r="B32" i="4"/>
  <c r="O16" i="6"/>
  <c r="O15"/>
  <c r="O14"/>
  <c r="O5"/>
  <c r="O6"/>
  <c r="O7"/>
  <c r="O8"/>
  <c r="O9"/>
  <c r="O10"/>
  <c r="O11"/>
  <c r="O12"/>
  <c r="O13"/>
  <c r="C16"/>
  <c r="C15"/>
  <c r="C14"/>
  <c r="C13"/>
  <c r="C12"/>
  <c r="C11"/>
  <c r="C10"/>
  <c r="C9"/>
  <c r="C8"/>
  <c r="C7"/>
  <c r="C6"/>
  <c r="C5"/>
  <c r="O4"/>
  <c r="C4"/>
  <c r="B16"/>
  <c r="B15"/>
  <c r="B14"/>
  <c r="B13"/>
  <c r="B12"/>
  <c r="B11"/>
  <c r="B10"/>
  <c r="B9"/>
  <c r="B8"/>
  <c r="B7"/>
  <c r="B6"/>
  <c r="B5"/>
  <c r="B4"/>
  <c r="U21" i="5"/>
  <c r="U20"/>
  <c r="U19"/>
  <c r="U18"/>
  <c r="U16"/>
  <c r="T21"/>
  <c r="T20"/>
  <c r="T19"/>
  <c r="T18"/>
  <c r="T16"/>
  <c r="C31" i="8"/>
  <c r="F51" i="4"/>
  <c r="F52"/>
  <c r="F53"/>
  <c r="F54"/>
  <c r="F55"/>
  <c r="F56"/>
  <c r="F57"/>
  <c r="F58"/>
  <c r="F59"/>
  <c r="F60"/>
  <c r="F61"/>
  <c r="F62"/>
  <c r="D8"/>
  <c r="BB17"/>
  <c r="DS16"/>
  <c r="DS23"/>
  <c r="T59" l="1"/>
  <c r="B23" i="1"/>
  <c r="A26"/>
  <c r="B24" i="8"/>
  <c r="Y35" i="6"/>
  <c r="L36"/>
  <c r="K36"/>
  <c r="B36"/>
  <c r="C36" s="1"/>
  <c r="AJ33"/>
  <c r="AJ32"/>
  <c r="AJ31"/>
  <c r="AJ30"/>
  <c r="AJ29"/>
  <c r="AJ28"/>
  <c r="AJ27"/>
  <c r="M26"/>
  <c r="B26"/>
  <c r="O26" s="1"/>
  <c r="AJ26"/>
  <c r="AJ25"/>
  <c r="L24"/>
  <c r="B24"/>
  <c r="C24" s="1"/>
  <c r="AJ24"/>
  <c r="L23"/>
  <c r="B23"/>
  <c r="AJ23"/>
  <c r="L22"/>
  <c r="M22" s="1"/>
  <c r="B22"/>
  <c r="C22" s="1"/>
  <c r="AJ22"/>
  <c r="L21"/>
  <c r="B21"/>
  <c r="AJ21"/>
  <c r="AJ20"/>
  <c r="Y16"/>
  <c r="X16"/>
  <c r="N16" s="1"/>
  <c r="L16"/>
  <c r="K16"/>
  <c r="AJ19"/>
  <c r="Y15"/>
  <c r="X15"/>
  <c r="L15"/>
  <c r="K15"/>
  <c r="Y14"/>
  <c r="X14"/>
  <c r="N14" s="1"/>
  <c r="L14"/>
  <c r="K14"/>
  <c r="Y13"/>
  <c r="X13"/>
  <c r="N13" s="1"/>
  <c r="L13"/>
  <c r="K13"/>
  <c r="Y12"/>
  <c r="X12"/>
  <c r="N12" s="1"/>
  <c r="L12"/>
  <c r="K12"/>
  <c r="Y11"/>
  <c r="X11"/>
  <c r="N11" s="1"/>
  <c r="L11"/>
  <c r="K11"/>
  <c r="Y10"/>
  <c r="X10"/>
  <c r="N10" s="1"/>
  <c r="L10"/>
  <c r="K10"/>
  <c r="Y9"/>
  <c r="X9"/>
  <c r="N9" s="1"/>
  <c r="L9"/>
  <c r="K9"/>
  <c r="Y8"/>
  <c r="X8"/>
  <c r="N8" s="1"/>
  <c r="L8"/>
  <c r="K8"/>
  <c r="Y7"/>
  <c r="X7"/>
  <c r="N7" s="1"/>
  <c r="L7"/>
  <c r="K7"/>
  <c r="Y6"/>
  <c r="X6"/>
  <c r="N6" s="1"/>
  <c r="L6"/>
  <c r="K6"/>
  <c r="Y5"/>
  <c r="X5"/>
  <c r="N5" s="1"/>
  <c r="Q15" l="1"/>
  <c r="N15"/>
  <c r="Q16"/>
  <c r="Q6"/>
  <c r="Q14"/>
  <c r="Q12"/>
  <c r="Q11"/>
  <c r="Q5"/>
  <c r="Q7"/>
  <c r="Q9"/>
  <c r="C26"/>
  <c r="N26" s="1"/>
  <c r="Q8"/>
  <c r="Q10"/>
  <c r="B37"/>
  <c r="Q13"/>
  <c r="M16"/>
  <c r="P16" s="1"/>
  <c r="C23"/>
  <c r="M23"/>
  <c r="C21"/>
  <c r="M21"/>
  <c r="M11"/>
  <c r="P11" s="1"/>
  <c r="M6"/>
  <c r="P6" s="1"/>
  <c r="M7"/>
  <c r="P7" s="1"/>
  <c r="M9"/>
  <c r="P9" s="1"/>
  <c r="M13"/>
  <c r="P13" s="1"/>
  <c r="M15"/>
  <c r="P15" s="1"/>
  <c r="M12"/>
  <c r="P12" s="1"/>
  <c r="M8"/>
  <c r="P8" s="1"/>
  <c r="M10"/>
  <c r="P10" s="1"/>
  <c r="M14"/>
  <c r="P14" s="1"/>
  <c r="L5"/>
  <c r="K5"/>
  <c r="Y4"/>
  <c r="X4"/>
  <c r="L4"/>
  <c r="K4"/>
  <c r="Q3"/>
  <c r="M5" l="1"/>
  <c r="P5" s="1"/>
  <c r="M4"/>
  <c r="P4" s="1"/>
  <c r="Q4"/>
  <c r="N4"/>
  <c r="B36" i="1"/>
  <c r="D12" l="1"/>
  <c r="Q11"/>
  <c r="B7"/>
  <c r="Z6"/>
  <c r="B6"/>
  <c r="B5"/>
  <c r="DU109" i="4" l="1"/>
  <c r="DT109"/>
  <c r="ER108"/>
  <c r="EN106" l="1"/>
  <c r="EN108" s="1"/>
  <c r="EN105"/>
  <c r="EA104"/>
  <c r="DW103"/>
  <c r="DY109" l="1"/>
  <c r="DX109" s="1"/>
  <c r="DZ109"/>
  <c r="DU92"/>
  <c r="DT92"/>
  <c r="ER91"/>
  <c r="EN89"/>
  <c r="EN91" l="1"/>
  <c r="EN88"/>
  <c r="EA87"/>
  <c r="DW86"/>
  <c r="DX92" l="1"/>
  <c r="DZ92"/>
  <c r="DY92" s="1"/>
  <c r="DU74"/>
  <c r="DT74"/>
  <c r="ER73"/>
  <c r="EN71"/>
  <c r="EN70"/>
  <c r="EA69"/>
  <c r="DX74" s="1"/>
  <c r="EN73" l="1"/>
  <c r="DY74"/>
  <c r="DU54"/>
  <c r="DT54"/>
  <c r="ER53"/>
  <c r="EN51" l="1"/>
  <c r="EN53" s="1"/>
  <c r="EN50"/>
  <c r="EA49"/>
  <c r="DW48"/>
  <c r="DY54" l="1"/>
  <c r="DX54"/>
  <c r="DZ54"/>
  <c r="DG44" l="1"/>
  <c r="DG43"/>
  <c r="DG42"/>
  <c r="DG41"/>
  <c r="B40"/>
  <c r="DG40"/>
  <c r="B39"/>
  <c r="B16" i="1" l="1"/>
  <c r="B44"/>
  <c r="DG39" i="4" l="1"/>
  <c r="DG38"/>
  <c r="B37"/>
  <c r="DG37"/>
  <c r="B36"/>
  <c r="DG36"/>
  <c r="B35"/>
  <c r="DU35"/>
  <c r="DT35"/>
  <c r="DG35"/>
  <c r="D13" i="1" l="1"/>
  <c r="B34" i="4"/>
  <c r="ER34"/>
  <c r="DG34"/>
  <c r="B33"/>
  <c r="D35" i="1" l="1"/>
  <c r="J62" i="4"/>
  <c r="J61"/>
  <c r="J58"/>
  <c r="J60"/>
  <c r="J59"/>
  <c r="J55"/>
  <c r="J56"/>
  <c r="J54"/>
  <c r="J57"/>
  <c r="J53"/>
  <c r="J52"/>
  <c r="J51"/>
  <c r="B13" i="1"/>
  <c r="DG33" i="4"/>
  <c r="CZ33"/>
  <c r="EN32"/>
  <c r="EN34" s="1"/>
  <c r="CZ32"/>
  <c r="DD32" s="1"/>
  <c r="DB32" s="1"/>
  <c r="EN31"/>
  <c r="CZ31"/>
  <c r="EA30"/>
  <c r="CZ30"/>
  <c r="DB30" s="1"/>
  <c r="DW29"/>
  <c r="CZ29"/>
  <c r="CZ28"/>
  <c r="CZ27"/>
  <c r="CZ26"/>
  <c r="B25"/>
  <c r="CZ25"/>
  <c r="DD25" s="1"/>
  <c r="DB25" s="1"/>
  <c r="CZ24"/>
  <c r="DB24" s="1"/>
  <c r="CZ23"/>
  <c r="DB23" s="1"/>
  <c r="CZ22"/>
  <c r="DB22" s="1"/>
  <c r="CZ21"/>
  <c r="DB21" s="1"/>
  <c r="CT21"/>
  <c r="CZ20"/>
  <c r="DB20" s="1"/>
  <c r="CS20"/>
  <c r="CZ19"/>
  <c r="DB19" s="1"/>
  <c r="CJ18"/>
  <c r="AD18"/>
  <c r="AA18"/>
  <c r="CS21" l="1"/>
  <c r="DE25"/>
  <c r="DD29"/>
  <c r="DF29" s="1"/>
  <c r="DE32"/>
  <c r="DX35"/>
  <c r="DY35"/>
  <c r="CJ19"/>
  <c r="CJ20" s="1"/>
  <c r="CT22"/>
  <c r="CT23" s="1"/>
  <c r="DF25"/>
  <c r="DB26"/>
  <c r="DB27"/>
  <c r="DB28"/>
  <c r="DB31"/>
  <c r="DD33"/>
  <c r="B35" i="1"/>
  <c r="B12"/>
  <c r="AD17" i="4"/>
  <c r="AA17"/>
  <c r="EI16" s="1"/>
  <c r="AD16"/>
  <c r="AA16"/>
  <c r="EI15" s="1"/>
  <c r="DU15"/>
  <c r="DT15"/>
  <c r="BB16"/>
  <c r="AD15"/>
  <c r="AA15"/>
  <c r="B14"/>
  <c r="CS22" l="1"/>
  <c r="CS23" s="1"/>
  <c r="DB33"/>
  <c r="DE33"/>
  <c r="DF33"/>
  <c r="CJ21"/>
  <c r="CJ22" s="1"/>
  <c r="CJ23" s="1"/>
  <c r="DB29"/>
  <c r="DE29"/>
  <c r="CT24"/>
  <c r="BB15"/>
  <c r="AD14"/>
  <c r="AA14"/>
  <c r="B13"/>
  <c r="C13" s="1"/>
  <c r="CN13"/>
  <c r="CM13"/>
  <c r="AD13"/>
  <c r="AA13"/>
  <c r="ER12"/>
  <c r="CL13" l="1"/>
  <c r="B17" s="1"/>
  <c r="CS24"/>
  <c r="CJ24" s="1"/>
  <c r="CT25"/>
  <c r="AD12"/>
  <c r="AA12"/>
  <c r="BB12"/>
  <c r="AD11"/>
  <c r="AA11"/>
  <c r="EI10" s="1"/>
  <c r="EA10"/>
  <c r="BB11"/>
  <c r="AD10"/>
  <c r="AA10"/>
  <c r="EN9"/>
  <c r="EN11" s="1"/>
  <c r="EI11" s="1"/>
  <c r="EI9"/>
  <c r="DW9"/>
  <c r="AD9"/>
  <c r="AA9"/>
  <c r="BB9"/>
  <c r="AD8"/>
  <c r="AA8"/>
  <c r="EI7"/>
  <c r="B19" l="1"/>
  <c r="DY15"/>
  <c r="DZ15"/>
  <c r="DX15"/>
  <c r="EI8"/>
  <c r="DP43"/>
  <c r="DP40"/>
  <c r="DP44"/>
  <c r="DP45"/>
  <c r="DP41"/>
  <c r="DP42"/>
  <c r="DP38"/>
  <c r="DP37"/>
  <c r="DP39"/>
  <c r="DP36"/>
  <c r="DP35"/>
  <c r="DP34"/>
  <c r="DP33"/>
  <c r="CS25"/>
  <c r="CJ25" s="1"/>
  <c r="CT26"/>
  <c r="AD7"/>
  <c r="AA7"/>
  <c r="EI6"/>
  <c r="BG6"/>
  <c r="U33" i="5"/>
  <c r="U32"/>
  <c r="U31"/>
  <c r="U30"/>
  <c r="U29"/>
  <c r="U28"/>
  <c r="U27"/>
  <c r="AG7" i="4" l="1"/>
  <c r="AM7"/>
  <c r="AH7" s="1"/>
  <c r="CS26"/>
  <c r="CJ26" s="1"/>
  <c r="CT27"/>
  <c r="EI19"/>
  <c r="AM18"/>
  <c r="AM16"/>
  <c r="AM17"/>
  <c r="AM15"/>
  <c r="AM13"/>
  <c r="AM14"/>
  <c r="AM10"/>
  <c r="B20"/>
  <c r="AM9"/>
  <c r="AM8"/>
  <c r="AM12"/>
  <c r="AM11"/>
  <c r="U26" i="5"/>
  <c r="U24"/>
  <c r="T24"/>
  <c r="AB7" i="4" l="1"/>
  <c r="AH11"/>
  <c r="AB11"/>
  <c r="EI20"/>
  <c r="B10" i="1"/>
  <c r="G62" i="4"/>
  <c r="G61"/>
  <c r="G60"/>
  <c r="G58"/>
  <c r="G59"/>
  <c r="G55"/>
  <c r="G54"/>
  <c r="G57"/>
  <c r="G56"/>
  <c r="G53"/>
  <c r="G52"/>
  <c r="G51"/>
  <c r="AN18"/>
  <c r="AN17"/>
  <c r="AN15"/>
  <c r="BD23"/>
  <c r="AN16"/>
  <c r="AN14"/>
  <c r="AN13"/>
  <c r="AN9"/>
  <c r="AN10"/>
  <c r="AN8"/>
  <c r="AN12"/>
  <c r="AN11"/>
  <c r="AN7"/>
  <c r="AE7" s="1"/>
  <c r="AH15"/>
  <c r="AB15"/>
  <c r="AB13"/>
  <c r="AH13"/>
  <c r="AH8"/>
  <c r="AB8"/>
  <c r="AH16"/>
  <c r="AB16"/>
  <c r="AB9"/>
  <c r="AH9"/>
  <c r="AB18"/>
  <c r="AH18"/>
  <c r="AB14"/>
  <c r="AB12"/>
  <c r="AH12"/>
  <c r="AH10"/>
  <c r="AB10"/>
  <c r="AB17"/>
  <c r="AH17"/>
  <c r="CS27"/>
  <c r="CJ27" s="1"/>
  <c r="CT28"/>
  <c r="AM20"/>
  <c r="AI16" l="1"/>
  <c r="AE16"/>
  <c r="H60" s="1"/>
  <c r="AI14"/>
  <c r="AH14" s="1"/>
  <c r="AH19" s="1"/>
  <c r="AE14"/>
  <c r="H58" s="1"/>
  <c r="AI11"/>
  <c r="AE11"/>
  <c r="H55" s="1"/>
  <c r="AI9"/>
  <c r="AE9"/>
  <c r="H53" s="1"/>
  <c r="AI10"/>
  <c r="AE10"/>
  <c r="H54" s="1"/>
  <c r="AI18"/>
  <c r="AE18"/>
  <c r="H62" s="1"/>
  <c r="AI8"/>
  <c r="AE8"/>
  <c r="AI17"/>
  <c r="AE17"/>
  <c r="H61" s="1"/>
  <c r="AI12"/>
  <c r="AE12"/>
  <c r="H56" s="1"/>
  <c r="AI13"/>
  <c r="AE13"/>
  <c r="H57" s="1"/>
  <c r="AI15"/>
  <c r="AE15"/>
  <c r="H59" s="1"/>
  <c r="H51"/>
  <c r="AN20"/>
  <c r="AI7"/>
  <c r="BA13"/>
  <c r="AQ12"/>
  <c r="AQ15"/>
  <c r="BA16"/>
  <c r="CS28"/>
  <c r="CJ28" s="1"/>
  <c r="CT29"/>
  <c r="BA8"/>
  <c r="AQ7"/>
  <c r="BA14"/>
  <c r="AQ13"/>
  <c r="AQ14"/>
  <c r="BA15"/>
  <c r="BA10"/>
  <c r="AQ9"/>
  <c r="BA12"/>
  <c r="AQ11"/>
  <c r="AQ17"/>
  <c r="BA18"/>
  <c r="AB19"/>
  <c r="B18" s="1"/>
  <c r="EI18" s="1"/>
  <c r="BA19"/>
  <c r="AQ18"/>
  <c r="BA9"/>
  <c r="AQ8"/>
  <c r="BA11"/>
  <c r="AQ10"/>
  <c r="BA17"/>
  <c r="AQ16"/>
  <c r="S30" i="5" l="1"/>
  <c r="S31"/>
  <c r="T32"/>
  <c r="EF12" i="4" s="1"/>
  <c r="T33" i="5"/>
  <c r="EF13" i="4" s="1"/>
  <c r="T31" i="5"/>
  <c r="EE13" i="4" s="1"/>
  <c r="T30" i="5"/>
  <c r="EE12" i="4" s="1"/>
  <c r="T28" i="5"/>
  <c r="ED12" i="4" s="1"/>
  <c r="T29" i="5"/>
  <c r="ED13" i="4" s="1"/>
  <c r="S29" i="5"/>
  <c r="S28"/>
  <c r="S33"/>
  <c r="S32"/>
  <c r="AE19" i="4"/>
  <c r="B22" i="1" s="1"/>
  <c r="B24" s="1"/>
  <c r="AI19" i="4"/>
  <c r="H52"/>
  <c r="CS29"/>
  <c r="CJ29" s="1"/>
  <c r="CT30"/>
  <c r="BA20"/>
  <c r="AI20"/>
  <c r="AH20"/>
  <c r="AB20" s="1"/>
  <c r="AP7"/>
  <c r="ED71" l="1"/>
  <c r="ED89"/>
  <c r="ED106"/>
  <c r="ED32"/>
  <c r="ED51"/>
  <c r="ED107"/>
  <c r="ED33"/>
  <c r="ED52"/>
  <c r="ED72"/>
  <c r="ED90"/>
  <c r="ED14"/>
  <c r="EE107"/>
  <c r="EE108" s="1"/>
  <c r="EE33"/>
  <c r="EE34" s="1"/>
  <c r="EE52"/>
  <c r="EE53" s="1"/>
  <c r="EE72"/>
  <c r="EE73" s="1"/>
  <c r="EE14"/>
  <c r="EE90"/>
  <c r="EE91" s="1"/>
  <c r="EF89"/>
  <c r="EF106"/>
  <c r="EF32"/>
  <c r="EF51"/>
  <c r="EF71"/>
  <c r="EF90"/>
  <c r="EF91" s="1"/>
  <c r="EF14"/>
  <c r="EF107"/>
  <c r="EF108" s="1"/>
  <c r="EF33"/>
  <c r="EF34" s="1"/>
  <c r="EF52"/>
  <c r="EF53" s="1"/>
  <c r="EF72"/>
  <c r="EF73" s="1"/>
  <c r="EE89"/>
  <c r="EE106"/>
  <c r="EE32"/>
  <c r="EE51"/>
  <c r="EE71"/>
  <c r="CS30"/>
  <c r="CJ30" s="1"/>
  <c r="B29" s="1"/>
  <c r="BG21" s="1"/>
  <c r="CT31"/>
  <c r="N18" i="5"/>
  <c r="S17"/>
  <c r="N17" s="1"/>
  <c r="S16"/>
  <c r="S24" s="1"/>
  <c r="C15"/>
  <c r="B15"/>
  <c r="D14"/>
  <c r="N13"/>
  <c r="M13"/>
  <c r="M14" s="1"/>
  <c r="L13"/>
  <c r="L14" s="1"/>
  <c r="ED91" i="4" l="1"/>
  <c r="ED73"/>
  <c r="ED108"/>
  <c r="S27" i="5"/>
  <c r="S26"/>
  <c r="ED34" i="4"/>
  <c r="T27" i="5"/>
  <c r="K13" s="1"/>
  <c r="K14" s="1"/>
  <c r="T26"/>
  <c r="ED53" i="4"/>
  <c r="T64"/>
  <c r="N14" i="5"/>
  <c r="B34" i="1"/>
  <c r="B33" s="1"/>
  <c r="B11"/>
  <c r="CS31" i="4"/>
  <c r="CJ31" s="1"/>
  <c r="CT32"/>
  <c r="D13" i="5"/>
  <c r="N12"/>
  <c r="M12"/>
  <c r="L12"/>
  <c r="K12" s="1"/>
  <c r="D12"/>
  <c r="AC10"/>
  <c r="G10"/>
  <c r="F10"/>
  <c r="E10" s="1"/>
  <c r="I9"/>
  <c r="E9"/>
  <c r="B34" i="2"/>
  <c r="B15" i="1"/>
  <c r="L54" i="4" l="1"/>
  <c r="AZ11" s="1"/>
  <c r="L58"/>
  <c r="AZ15" s="1"/>
  <c r="L62"/>
  <c r="AZ19" s="1"/>
  <c r="L52"/>
  <c r="AZ9" s="1"/>
  <c r="L56"/>
  <c r="AZ13" s="1"/>
  <c r="L60"/>
  <c r="AZ17" s="1"/>
  <c r="L55"/>
  <c r="AZ12" s="1"/>
  <c r="L59"/>
  <c r="AZ16" s="1"/>
  <c r="L53"/>
  <c r="AZ10" s="1"/>
  <c r="L57"/>
  <c r="AZ14" s="1"/>
  <c r="L61"/>
  <c r="AZ18" s="1"/>
  <c r="L51"/>
  <c r="AZ8" s="1"/>
  <c r="D15" i="5"/>
  <c r="X35" i="1"/>
  <c r="B17"/>
  <c r="B37" s="1"/>
  <c r="CS32" i="4"/>
  <c r="CJ32" s="1"/>
  <c r="CT33"/>
  <c r="N23" i="5" l="1"/>
  <c r="Z5"/>
  <c r="Y8" s="1"/>
  <c r="Y9" s="1"/>
  <c r="Y10" s="1"/>
  <c r="C21"/>
  <c r="Y7"/>
  <c r="M6" i="1"/>
  <c r="J6"/>
  <c r="CS33" i="4"/>
  <c r="CJ33" s="1"/>
  <c r="CT34"/>
  <c r="AZ20"/>
  <c r="X37" i="1"/>
  <c r="B38"/>
  <c r="I10" i="5" l="1"/>
  <c r="Y13"/>
  <c r="C20" s="1"/>
  <c r="CS34" i="4"/>
  <c r="CJ34" s="1"/>
  <c r="CT35"/>
  <c r="G15" i="5" l="1"/>
  <c r="H15"/>
  <c r="C19"/>
  <c r="C18"/>
  <c r="CS35" i="4"/>
  <c r="CJ35" s="1"/>
  <c r="CT36"/>
  <c r="F15" i="5" l="1"/>
  <c r="F19" s="1"/>
  <c r="G19"/>
  <c r="CS36" i="4"/>
  <c r="CJ36" s="1"/>
  <c r="CT37"/>
  <c r="H19" i="5" l="1"/>
  <c r="H14" s="1"/>
  <c r="I19"/>
  <c r="F12"/>
  <c r="F20"/>
  <c r="F14"/>
  <c r="F13"/>
  <c r="G20"/>
  <c r="G12"/>
  <c r="G13"/>
  <c r="G14"/>
  <c r="CS37" i="4"/>
  <c r="CJ37" s="1"/>
  <c r="CT38"/>
  <c r="H13" i="5" l="1"/>
  <c r="H20"/>
  <c r="J20" s="1"/>
  <c r="H12"/>
  <c r="I12"/>
  <c r="I14"/>
  <c r="I13"/>
  <c r="I20"/>
  <c r="CS38" i="4"/>
  <c r="CJ38" s="1"/>
  <c r="CT39"/>
  <c r="CS39" l="1"/>
  <c r="CJ39" s="1"/>
  <c r="CT40"/>
  <c r="CS40" l="1"/>
  <c r="CJ40" s="1"/>
  <c r="CT41"/>
  <c r="CS41" l="1"/>
  <c r="CJ41" s="1"/>
  <c r="CT42"/>
  <c r="CS42" l="1"/>
  <c r="CJ42" s="1"/>
  <c r="B41" s="1"/>
  <c r="B45" i="1" s="1"/>
  <c r="CT43" i="4"/>
  <c r="CJ43" l="1"/>
  <c r="CJ44" l="1"/>
  <c r="CJ45" l="1"/>
  <c r="CJ46" s="1"/>
  <c r="CJ47" s="1"/>
  <c r="CJ48" s="1"/>
  <c r="CJ49" s="1"/>
  <c r="CJ50" s="1"/>
  <c r="CJ51" s="1"/>
  <c r="CJ52" s="1"/>
  <c r="CJ53" s="1"/>
  <c r="CJ54" s="1"/>
  <c r="CJ55" s="1"/>
  <c r="CJ56" s="1"/>
  <c r="CJ57" s="1"/>
  <c r="CJ58" s="1"/>
  <c r="CJ59" s="1"/>
  <c r="CJ60" s="1"/>
  <c r="CJ61" s="1"/>
  <c r="CJ62" s="1"/>
  <c r="CJ63" s="1"/>
  <c r="CJ64" s="1"/>
  <c r="CJ65" s="1"/>
  <c r="CJ66" s="1"/>
  <c r="CJ67" s="1"/>
  <c r="CJ68" s="1"/>
  <c r="CJ69" s="1"/>
  <c r="CJ70" s="1"/>
  <c r="CJ71" s="1"/>
  <c r="CJ72" s="1"/>
  <c r="CJ73" s="1"/>
  <c r="CJ74" s="1"/>
  <c r="CJ75" s="1"/>
  <c r="CJ76" s="1"/>
  <c r="CJ77" s="1"/>
  <c r="CJ78" s="1"/>
  <c r="CJ79" s="1"/>
  <c r="CJ80" s="1"/>
  <c r="CJ81" s="1"/>
  <c r="CJ82" s="1"/>
  <c r="CJ83" s="1"/>
  <c r="CJ84" s="1"/>
  <c r="CJ85" s="1"/>
  <c r="CJ86" s="1"/>
  <c r="CJ87" s="1"/>
  <c r="CJ88" s="1"/>
  <c r="CJ89" s="1"/>
  <c r="CJ90" s="1"/>
  <c r="CJ91" s="1"/>
  <c r="CJ92" s="1"/>
  <c r="CJ93" s="1"/>
  <c r="CJ94" s="1"/>
  <c r="CJ95" s="1"/>
  <c r="CJ96" s="1"/>
  <c r="CJ97" s="1"/>
  <c r="CJ98" s="1"/>
  <c r="CJ99" s="1"/>
  <c r="CJ100" s="1"/>
  <c r="CJ101" s="1"/>
  <c r="CJ102" s="1"/>
  <c r="CJ103" s="1"/>
  <c r="CJ104" s="1"/>
  <c r="CJ105" s="1"/>
  <c r="CJ106" s="1"/>
  <c r="CJ107" s="1"/>
  <c r="CJ108" s="1"/>
  <c r="CJ109" s="1"/>
  <c r="CJ110" s="1"/>
  <c r="CJ111" s="1"/>
  <c r="CJ112" s="1"/>
  <c r="CJ113" s="1"/>
  <c r="CJ114" s="1"/>
  <c r="CJ115" s="1"/>
  <c r="CJ116" s="1"/>
  <c r="CJ117" s="1"/>
  <c r="CJ118" s="1"/>
  <c r="BC8"/>
  <c r="BC9"/>
  <c r="I52" s="1"/>
  <c r="BC10"/>
  <c r="I53" s="1"/>
  <c r="DZ35"/>
  <c r="BC11"/>
  <c r="AR10" s="1"/>
  <c r="BC12"/>
  <c r="AR11" s="1"/>
  <c r="BC13"/>
  <c r="AR12" s="1"/>
  <c r="BC14"/>
  <c r="BC15"/>
  <c r="AR14" s="1"/>
  <c r="BC16"/>
  <c r="AR15" s="1"/>
  <c r="BC17"/>
  <c r="AR16" s="1"/>
  <c r="AP17"/>
  <c r="BC18"/>
  <c r="AR17" s="1"/>
  <c r="BC19"/>
  <c r="AR18" s="1"/>
  <c r="DZ74"/>
  <c r="Z7" i="1"/>
  <c r="Z8" s="1"/>
  <c r="Z9" s="1"/>
  <c r="Z10" s="1"/>
  <c r="Z11" s="1"/>
  <c r="Z12" s="1"/>
  <c r="AP12" i="4"/>
  <c r="AP9"/>
  <c r="DD20"/>
  <c r="DF20" s="1"/>
  <c r="AP8"/>
  <c r="EI17"/>
  <c r="EI14"/>
  <c r="EI13"/>
  <c r="EI12"/>
  <c r="DD19"/>
  <c r="DF19" s="1"/>
  <c r="DD22"/>
  <c r="DF22" s="1"/>
  <c r="DD26"/>
  <c r="DE26" s="1"/>
  <c r="DD28"/>
  <c r="DE28" s="1"/>
  <c r="DD21"/>
  <c r="DE21" s="1"/>
  <c r="DD23"/>
  <c r="DE23" s="1"/>
  <c r="DD27"/>
  <c r="DF27" s="1"/>
  <c r="DD31"/>
  <c r="DF31" s="1"/>
  <c r="DD24"/>
  <c r="DE24" s="1"/>
  <c r="DD30"/>
  <c r="DE30" s="1"/>
  <c r="DF32"/>
  <c r="AP11"/>
  <c r="AP15"/>
  <c r="B25" i="1"/>
  <c r="AR8" i="4" l="1"/>
  <c r="AR9"/>
  <c r="DE20"/>
  <c r="I62"/>
  <c r="I60"/>
  <c r="I58"/>
  <c r="I56"/>
  <c r="K52"/>
  <c r="M52" s="1"/>
  <c r="N52" s="1"/>
  <c r="P52" s="1"/>
  <c r="I59"/>
  <c r="I57"/>
  <c r="I55"/>
  <c r="DF23"/>
  <c r="DF30"/>
  <c r="DF28"/>
  <c r="AP16"/>
  <c r="DE31"/>
  <c r="DE22"/>
  <c r="DF24"/>
  <c r="DF21"/>
  <c r="AP13"/>
  <c r="I61"/>
  <c r="I54"/>
  <c r="DE27"/>
  <c r="DF26"/>
  <c r="DE19"/>
  <c r="AR13"/>
  <c r="AR7"/>
  <c r="AP18"/>
  <c r="I51"/>
  <c r="K53"/>
  <c r="M53" s="1"/>
  <c r="N53" s="1"/>
  <c r="P53" s="1"/>
  <c r="AP14"/>
  <c r="AP10"/>
  <c r="O52" l="1"/>
  <c r="BG9" s="1"/>
  <c r="BF9"/>
  <c r="O53"/>
  <c r="BG10" s="1"/>
  <c r="BF10"/>
  <c r="K60"/>
  <c r="M60" s="1"/>
  <c r="N60" s="1"/>
  <c r="P60" s="1"/>
  <c r="K61"/>
  <c r="M61" s="1"/>
  <c r="N61" s="1"/>
  <c r="P61" s="1"/>
  <c r="K62"/>
  <c r="M62" s="1"/>
  <c r="N62" s="1"/>
  <c r="P62" s="1"/>
  <c r="K56"/>
  <c r="M56" s="1"/>
  <c r="N56" s="1"/>
  <c r="P56" s="1"/>
  <c r="K58"/>
  <c r="M58" s="1"/>
  <c r="N58" s="1"/>
  <c r="P58" s="1"/>
  <c r="K59"/>
  <c r="M59" s="1"/>
  <c r="N59" s="1"/>
  <c r="P59" s="1"/>
  <c r="K54"/>
  <c r="M54" s="1"/>
  <c r="N54" s="1"/>
  <c r="P54" s="1"/>
  <c r="K55"/>
  <c r="M55" s="1"/>
  <c r="N55" s="1"/>
  <c r="P55" s="1"/>
  <c r="BD9"/>
  <c r="BD10"/>
  <c r="K57"/>
  <c r="M57" s="1"/>
  <c r="N57" s="1"/>
  <c r="P57" s="1"/>
  <c r="AR19"/>
  <c r="K51"/>
  <c r="M51" s="1"/>
  <c r="N51" s="1"/>
  <c r="P51" s="1"/>
  <c r="O55" l="1"/>
  <c r="BG12" s="1"/>
  <c r="BF12"/>
  <c r="O58"/>
  <c r="BG15" s="1"/>
  <c r="O60"/>
  <c r="BF17"/>
  <c r="O56"/>
  <c r="BG13" s="1"/>
  <c r="BF13"/>
  <c r="O59"/>
  <c r="BG16" s="1"/>
  <c r="O57"/>
  <c r="BG14" s="1"/>
  <c r="BF14"/>
  <c r="O54"/>
  <c r="BG11" s="1"/>
  <c r="O62"/>
  <c r="BG19" s="1"/>
  <c r="O51"/>
  <c r="DV34"/>
  <c r="DV33"/>
  <c r="DV32"/>
  <c r="BD18"/>
  <c r="O61"/>
  <c r="BG18" s="1"/>
  <c r="BF19"/>
  <c r="BG17"/>
  <c r="BF15"/>
  <c r="BF18"/>
  <c r="BF16"/>
  <c r="BD13"/>
  <c r="BD15"/>
  <c r="BD16"/>
  <c r="BD17"/>
  <c r="BD19"/>
  <c r="BD11"/>
  <c r="BD12"/>
  <c r="BD14"/>
  <c r="BD8"/>
  <c r="BF11" l="1"/>
  <c r="DV52"/>
  <c r="DV107"/>
  <c r="DV108"/>
  <c r="DV106"/>
  <c r="DV91"/>
  <c r="DV89"/>
  <c r="DV90"/>
  <c r="DV73"/>
  <c r="DV51"/>
  <c r="DV53"/>
  <c r="DV71"/>
  <c r="DV72"/>
  <c r="BG8"/>
  <c r="BF8"/>
  <c r="BD20"/>
  <c r="DV35"/>
  <c r="DU41" s="1"/>
  <c r="BF20" l="1"/>
  <c r="D24" i="1" s="1"/>
  <c r="DV54" i="4"/>
  <c r="DU60" s="1"/>
  <c r="DV92"/>
  <c r="DU98" s="1"/>
  <c r="DV14"/>
  <c r="DV12"/>
  <c r="DV13"/>
  <c r="BG20"/>
  <c r="DV74"/>
  <c r="DV109"/>
  <c r="DU115" s="1"/>
  <c r="D22" i="1"/>
  <c r="BC20" i="4"/>
  <c r="D23" i="1" s="1"/>
  <c r="DX39" i="4"/>
  <c r="EO31"/>
  <c r="EO32"/>
  <c r="EN35" s="1"/>
  <c r="DX58" l="1"/>
  <c r="DY58" s="1"/>
  <c r="DZ58" s="1"/>
  <c r="EO50"/>
  <c r="DU55"/>
  <c r="DU93"/>
  <c r="DU36"/>
  <c r="DU75"/>
  <c r="DU16"/>
  <c r="EF18" s="1"/>
  <c r="DU110"/>
  <c r="EO89"/>
  <c r="EN92" s="1"/>
  <c r="EN93" s="1"/>
  <c r="EN94" s="1"/>
  <c r="EN97" s="1"/>
  <c r="DU97" s="1"/>
  <c r="EO88"/>
  <c r="D25" i="1"/>
  <c r="DX96" i="4"/>
  <c r="DY96" s="1"/>
  <c r="DZ96" s="1"/>
  <c r="EA96" s="1"/>
  <c r="EA91" s="1"/>
  <c r="EA95" s="1"/>
  <c r="EO51"/>
  <c r="EN54" s="1"/>
  <c r="EN55" s="1"/>
  <c r="EN56" s="1"/>
  <c r="EN59" s="1"/>
  <c r="DU59" s="1"/>
  <c r="EO71"/>
  <c r="EN74" s="1"/>
  <c r="EN75" s="1"/>
  <c r="EN76" s="1"/>
  <c r="EN79" s="1"/>
  <c r="DU79" s="1"/>
  <c r="DU80"/>
  <c r="DV15"/>
  <c r="DU21" s="1"/>
  <c r="D26" i="1"/>
  <c r="DX78" i="4"/>
  <c r="DX73" s="1"/>
  <c r="EO70"/>
  <c r="DX113"/>
  <c r="DY113" s="1"/>
  <c r="EO106"/>
  <c r="EN109" s="1"/>
  <c r="EN110" s="1"/>
  <c r="EN111" s="1"/>
  <c r="EN114" s="1"/>
  <c r="DU114" s="1"/>
  <c r="EO105"/>
  <c r="DX40"/>
  <c r="DX34"/>
  <c r="DX33"/>
  <c r="DX32"/>
  <c r="EN36"/>
  <c r="EN37" s="1"/>
  <c r="EN40" s="1"/>
  <c r="DU40" s="1"/>
  <c r="DY39"/>
  <c r="DY59" l="1"/>
  <c r="DX59"/>
  <c r="DX51"/>
  <c r="DX53"/>
  <c r="DY52"/>
  <c r="DY56" s="1"/>
  <c r="DY51"/>
  <c r="DY55" s="1"/>
  <c r="DX52"/>
  <c r="DY53"/>
  <c r="DY57" s="1"/>
  <c r="DZ97"/>
  <c r="EF17"/>
  <c r="EF111" s="1"/>
  <c r="DU112" s="1"/>
  <c r="DX91"/>
  <c r="DX89"/>
  <c r="DY90"/>
  <c r="DY94" s="1"/>
  <c r="EO9"/>
  <c r="EN12" s="1"/>
  <c r="EN13" s="1"/>
  <c r="EN14" s="1"/>
  <c r="EN17" s="1"/>
  <c r="DU20" s="1"/>
  <c r="EC12"/>
  <c r="EC71" s="1"/>
  <c r="EC13"/>
  <c r="EC90" s="1"/>
  <c r="EC91" s="1"/>
  <c r="EA97"/>
  <c r="DY97"/>
  <c r="EA89"/>
  <c r="EA93" s="1"/>
  <c r="DY89"/>
  <c r="DY93" s="1"/>
  <c r="EA90"/>
  <c r="EA94" s="1"/>
  <c r="DZ89"/>
  <c r="DZ93" s="1"/>
  <c r="EF38"/>
  <c r="DU39" s="1"/>
  <c r="EF77"/>
  <c r="DU78" s="1"/>
  <c r="EF57"/>
  <c r="DU58" s="1"/>
  <c r="EF95"/>
  <c r="DU96" s="1"/>
  <c r="DU19"/>
  <c r="EF112"/>
  <c r="DU113" s="1"/>
  <c r="DX97"/>
  <c r="DX19"/>
  <c r="DX20" s="1"/>
  <c r="DX90"/>
  <c r="DY91"/>
  <c r="DY95" s="1"/>
  <c r="DZ90"/>
  <c r="DZ94" s="1"/>
  <c r="DZ91"/>
  <c r="DZ95" s="1"/>
  <c r="DY78"/>
  <c r="DZ78" s="1"/>
  <c r="DZ79" s="1"/>
  <c r="DX72"/>
  <c r="DX79"/>
  <c r="DX71"/>
  <c r="DZ52"/>
  <c r="DZ56" s="1"/>
  <c r="EA58"/>
  <c r="DZ39"/>
  <c r="EA39" s="1"/>
  <c r="DX114"/>
  <c r="DX108"/>
  <c r="DX106"/>
  <c r="DX107"/>
  <c r="DY114"/>
  <c r="DY108"/>
  <c r="DY112" s="1"/>
  <c r="DZ113"/>
  <c r="DZ107" s="1"/>
  <c r="DZ111" s="1"/>
  <c r="DY107"/>
  <c r="DY111" s="1"/>
  <c r="DY106"/>
  <c r="DY110" s="1"/>
  <c r="DZ51"/>
  <c r="DZ55" s="1"/>
  <c r="DZ59"/>
  <c r="DZ53"/>
  <c r="DZ57" s="1"/>
  <c r="DY40"/>
  <c r="DY33"/>
  <c r="DY37" s="1"/>
  <c r="DY32"/>
  <c r="DY36" s="1"/>
  <c r="DY34"/>
  <c r="DY38" s="1"/>
  <c r="EA78" l="1"/>
  <c r="EA79" s="1"/>
  <c r="DX95"/>
  <c r="EB95" s="1"/>
  <c r="EF37"/>
  <c r="DU38" s="1"/>
  <c r="EF94"/>
  <c r="DU95" s="1"/>
  <c r="EF76"/>
  <c r="DU77" s="1"/>
  <c r="EF56"/>
  <c r="DU57" s="1"/>
  <c r="DU18"/>
  <c r="EC14"/>
  <c r="DY19"/>
  <c r="DY13" s="1"/>
  <c r="DY17" s="1"/>
  <c r="DX13"/>
  <c r="DX17" s="1"/>
  <c r="DX12"/>
  <c r="DX16" s="1"/>
  <c r="EC89"/>
  <c r="DX93" s="1"/>
  <c r="EB93" s="1"/>
  <c r="EC52"/>
  <c r="EC53" s="1"/>
  <c r="DX57" s="1"/>
  <c r="EC32"/>
  <c r="DX36" s="1"/>
  <c r="EC72"/>
  <c r="EC73" s="1"/>
  <c r="DX77" s="1"/>
  <c r="EC106"/>
  <c r="DX110" s="1"/>
  <c r="EC51"/>
  <c r="DX55" s="1"/>
  <c r="DX75"/>
  <c r="EC33"/>
  <c r="EC34" s="1"/>
  <c r="DX38" s="1"/>
  <c r="EC107"/>
  <c r="EC108" s="1"/>
  <c r="DX112" s="1"/>
  <c r="DX14"/>
  <c r="DX94"/>
  <c r="EB94" s="1"/>
  <c r="EB97"/>
  <c r="DZ33"/>
  <c r="DZ37" s="1"/>
  <c r="DZ40"/>
  <c r="DY71"/>
  <c r="DY75" s="1"/>
  <c r="DZ71"/>
  <c r="DZ75" s="1"/>
  <c r="DY73"/>
  <c r="DY77" s="1"/>
  <c r="DZ72"/>
  <c r="DZ76" s="1"/>
  <c r="DZ73"/>
  <c r="DZ77" s="1"/>
  <c r="DY72"/>
  <c r="DY76" s="1"/>
  <c r="DY79"/>
  <c r="DZ114"/>
  <c r="EA59"/>
  <c r="EB59" s="1"/>
  <c r="EA53"/>
  <c r="EA57" s="1"/>
  <c r="EA51"/>
  <c r="EA55" s="1"/>
  <c r="EA52"/>
  <c r="EA56" s="1"/>
  <c r="EA113"/>
  <c r="EA114" s="1"/>
  <c r="DZ32"/>
  <c r="DZ36" s="1"/>
  <c r="DZ34"/>
  <c r="DZ38" s="1"/>
  <c r="EA40"/>
  <c r="EA34"/>
  <c r="EA38" s="1"/>
  <c r="EA33"/>
  <c r="EA37" s="1"/>
  <c r="EA32"/>
  <c r="EA36" s="1"/>
  <c r="DZ108"/>
  <c r="DZ112" s="1"/>
  <c r="DZ106"/>
  <c r="DZ110" s="1"/>
  <c r="EA71" l="1"/>
  <c r="EA75" s="1"/>
  <c r="EB40"/>
  <c r="EA73"/>
  <c r="EA77" s="1"/>
  <c r="EA72"/>
  <c r="EA76" s="1"/>
  <c r="DY14"/>
  <c r="DY18" s="1"/>
  <c r="DY12"/>
  <c r="DY16" s="1"/>
  <c r="DZ19"/>
  <c r="EA19" s="1"/>
  <c r="EA20" s="1"/>
  <c r="DY20"/>
  <c r="DX18"/>
  <c r="DX56"/>
  <c r="EB56" s="1"/>
  <c r="EB57"/>
  <c r="EB55"/>
  <c r="DX111"/>
  <c r="DX37"/>
  <c r="EB37" s="1"/>
  <c r="DX76"/>
  <c r="EB96"/>
  <c r="DU99" s="1"/>
  <c r="DU100" s="1"/>
  <c r="DZ100" s="1"/>
  <c r="BL14" s="1"/>
  <c r="EB75"/>
  <c r="EB114"/>
  <c r="EB77"/>
  <c r="EB79"/>
  <c r="EB36"/>
  <c r="EB38"/>
  <c r="EA107"/>
  <c r="EA111" s="1"/>
  <c r="EA108"/>
  <c r="EA112" s="1"/>
  <c r="EB112" s="1"/>
  <c r="EA106"/>
  <c r="EA110" s="1"/>
  <c r="EB110" s="1"/>
  <c r="EB76" l="1"/>
  <c r="EB78" s="1"/>
  <c r="DU81" s="1"/>
  <c r="DU82" s="1"/>
  <c r="DZ82" s="1"/>
  <c r="BL12" s="1"/>
  <c r="EA12"/>
  <c r="EA16" s="1"/>
  <c r="EA14"/>
  <c r="EA18" s="1"/>
  <c r="DZ20"/>
  <c r="EB20" s="1"/>
  <c r="DZ14"/>
  <c r="DZ18" s="1"/>
  <c r="DZ12"/>
  <c r="DZ16" s="1"/>
  <c r="EA13"/>
  <c r="EA17" s="1"/>
  <c r="DZ13"/>
  <c r="DZ17" s="1"/>
  <c r="EB111"/>
  <c r="EB113" s="1"/>
  <c r="DU116" s="1"/>
  <c r="DU117" s="1"/>
  <c r="EB58"/>
  <c r="DU61" s="1"/>
  <c r="DU62" s="1"/>
  <c r="DZ62" s="1"/>
  <c r="BL10" s="1"/>
  <c r="EB39"/>
  <c r="EB16" l="1"/>
  <c r="EB18"/>
  <c r="EB17"/>
  <c r="DU42"/>
  <c r="DU43" s="1"/>
  <c r="DZ43" s="1"/>
  <c r="BL8" s="1"/>
  <c r="DZ117"/>
  <c r="BL16" s="1"/>
  <c r="C32" i="8"/>
  <c r="B27" i="1" s="1"/>
  <c r="EB19" i="4" l="1"/>
  <c r="DU22" s="1"/>
  <c r="DU23" s="1"/>
  <c r="DZ23" s="1"/>
  <c r="EC45"/>
  <c r="B14" i="1"/>
  <c r="A34" i="8"/>
  <c r="DZ25" i="4" l="1"/>
  <c r="BL18"/>
  <c r="BL19" s="1"/>
  <c r="D27" i="1" s="1"/>
  <c r="B39" s="1"/>
  <c r="F16" i="5"/>
  <c r="G16"/>
  <c r="H16"/>
  <c r="I16"/>
  <c r="F17"/>
  <c r="G17"/>
  <c r="H17"/>
  <c r="I17"/>
  <c r="F18"/>
  <c r="G18"/>
  <c r="H18"/>
  <c r="I18"/>
  <c r="J16" l="1"/>
  <c r="J18"/>
  <c r="J17"/>
  <c r="J19" l="1"/>
  <c r="C22" s="1"/>
  <c r="C23" s="1"/>
  <c r="H23" s="1"/>
  <c r="H25" s="1"/>
  <c r="B26" i="1"/>
  <c r="B40" s="1"/>
  <c r="B41" s="1"/>
  <c r="B46" s="1"/>
  <c r="L23" i="5" l="1"/>
  <c r="N26"/>
  <c r="B42" i="1"/>
  <c r="L7"/>
  <c r="L18" l="1"/>
  <c r="L17"/>
  <c r="M17" s="1"/>
  <c r="L15"/>
  <c r="M15" s="1"/>
  <c r="L13"/>
  <c r="M13" s="1"/>
  <c r="L11"/>
  <c r="M11" s="1"/>
  <c r="L9"/>
  <c r="M9" s="1"/>
  <c r="M7"/>
  <c r="N7" s="1"/>
  <c r="L16"/>
  <c r="M16" s="1"/>
  <c r="L14"/>
  <c r="M14" s="1"/>
  <c r="L12"/>
  <c r="M12" s="1"/>
  <c r="L10"/>
  <c r="M10" s="1"/>
  <c r="L8"/>
  <c r="M8" s="1"/>
  <c r="N8" l="1"/>
  <c r="N9" s="1"/>
  <c r="N10" s="1"/>
  <c r="N11" s="1"/>
  <c r="N12" s="1"/>
  <c r="N13" s="1"/>
  <c r="N14" s="1"/>
  <c r="N15" s="1"/>
  <c r="N16" s="1"/>
  <c r="N17" s="1"/>
  <c r="M18"/>
  <c r="L19"/>
  <c r="N18" l="1"/>
  <c r="L20"/>
  <c r="M19"/>
  <c r="L21" l="1"/>
  <c r="M20"/>
  <c r="N19"/>
  <c r="N20" l="1"/>
  <c r="L22"/>
  <c r="M21"/>
  <c r="N21" l="1"/>
  <c r="M22"/>
  <c r="L23"/>
  <c r="N22" l="1"/>
  <c r="L24"/>
  <c r="M23"/>
  <c r="N23" l="1"/>
  <c r="L25"/>
  <c r="M24"/>
  <c r="N24" l="1"/>
  <c r="M25"/>
  <c r="L26"/>
  <c r="M26" s="1"/>
  <c r="N25" l="1"/>
  <c r="N26" s="1"/>
  <c r="B43" s="1"/>
  <c r="AQ19" i="4"/>
  <c r="AD19"/>
  <c r="M36" i="6"/>
  <c r="N36" s="1"/>
</calcChain>
</file>

<file path=xl/comments1.xml><?xml version="1.0" encoding="utf-8"?>
<comments xmlns="http://schemas.openxmlformats.org/spreadsheetml/2006/main">
  <authors>
    <author>rb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rb: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rb: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Roberto</author>
  </authors>
  <commentList>
    <comment ref="I50" authorId="0">
      <text>
        <r>
          <rPr>
            <b/>
            <sz val="9"/>
            <color indexed="81"/>
            <rFont val="Tahoma"/>
            <family val="2"/>
          </rPr>
          <t>Roberto:</t>
        </r>
        <r>
          <rPr>
            <sz val="9"/>
            <color indexed="81"/>
            <rFont val="Tahoma"/>
            <family val="2"/>
          </rPr>
          <t xml:space="preserve">
considera perdite totale x giorni nuvolosi
</t>
        </r>
      </text>
    </comment>
  </commentList>
</comments>
</file>

<file path=xl/comments3.xml><?xml version="1.0" encoding="utf-8"?>
<comments xmlns="http://schemas.openxmlformats.org/spreadsheetml/2006/main">
  <authors>
    <author>Roberto</author>
    <author>Roberto Bussolino</author>
  </authors>
  <commentList>
    <comment ref="K16" authorId="0">
      <text>
        <r>
          <rPr>
            <b/>
            <sz val="9"/>
            <color indexed="81"/>
            <rFont val="Tahoma"/>
            <family val="2"/>
          </rPr>
          <t>Roberto: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" authorId="1">
      <text>
        <r>
          <rPr>
            <b/>
            <sz val="9"/>
            <color indexed="81"/>
            <rFont val="Tahoma"/>
            <family val="2"/>
          </rPr>
          <t>Roberto Bussolino: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<sst xmlns="http://schemas.openxmlformats.org/spreadsheetml/2006/main" count="863" uniqueCount="484">
  <si>
    <t>energia autoconsumata KWh/anno</t>
  </si>
  <si>
    <t>NOTE</t>
  </si>
  <si>
    <t>tempo ritorno investimento (anni)</t>
  </si>
  <si>
    <t>LEGENDA</t>
  </si>
  <si>
    <t>caselle di input</t>
  </si>
  <si>
    <t>caselle con dati di riferimento</t>
  </si>
  <si>
    <t>caselle con risultati</t>
  </si>
  <si>
    <t>annuale</t>
  </si>
  <si>
    <t>Totale spese annuali</t>
  </si>
  <si>
    <t>casella con dati derivati per uguaglianza con altro input</t>
  </si>
  <si>
    <t>produzione totale impianto (P)  (kWh)</t>
  </si>
  <si>
    <t>energia immessa in rete  KWh/anno</t>
  </si>
  <si>
    <t>energia prelevata dalla rete kWh/anno</t>
  </si>
  <si>
    <t>risparmio su bolletta elettrica €/anno</t>
  </si>
  <si>
    <t>ANNI</t>
  </si>
  <si>
    <t>RATA ANNUALE MUTUO</t>
  </si>
  <si>
    <t>SPESE ANNUALI</t>
  </si>
  <si>
    <t>USCITE</t>
  </si>
  <si>
    <r>
      <t xml:space="preserve">ENTRATE TOTALI </t>
    </r>
    <r>
      <rPr>
        <sz val="8"/>
        <rFont val="Arial"/>
        <family val="2"/>
      </rPr>
      <t>(incentivo + risparmio  bolletta)</t>
    </r>
  </si>
  <si>
    <t>cumulato</t>
  </si>
  <si>
    <t>CASH-FLOW</t>
  </si>
  <si>
    <t>Fascia solare</t>
  </si>
  <si>
    <t>Provincia</t>
  </si>
  <si>
    <t>ENEA</t>
  </si>
  <si>
    <t>Agrigento</t>
  </si>
  <si>
    <t>Alessandria</t>
  </si>
  <si>
    <t>Ancona</t>
  </si>
  <si>
    <t>Aosta</t>
  </si>
  <si>
    <t>Arezzo</t>
  </si>
  <si>
    <t>Ascoli</t>
  </si>
  <si>
    <t>Asti</t>
  </si>
  <si>
    <t>Avellino</t>
  </si>
  <si>
    <t>Bari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</si>
  <si>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</si>
  <si>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</si>
  <si>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</si>
  <si>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</si>
  <si>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</si>
  <si>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</si>
  <si>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</si>
  <si>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</si>
  <si>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</si>
  <si>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</si>
  <si>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</si>
  <si>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</si>
  <si>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</si>
  <si>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</si>
  <si>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</si>
  <si>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</si>
  <si>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</si>
  <si>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</si>
  <si>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</si>
  <si>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</si>
  <si>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</si>
  <si>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Ferrara</t>
  </si>
  <si>
    <t>Firenze</t>
  </si>
  <si>
    <t>Foggia</t>
  </si>
  <si>
    <t>Forlì</t>
  </si>
  <si>
    <t>Frosinone</t>
  </si>
  <si>
    <t>Genova</t>
  </si>
  <si>
    <t>Gorizia</t>
  </si>
  <si>
    <t>Grosseto</t>
  </si>
  <si>
    <t>Imperia</t>
  </si>
  <si>
    <t>Isernia</t>
  </si>
  <si>
    <t>La Spezia</t>
  </si>
  <si>
    <t>L'Aquila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</si>
  <si>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</si>
  <si>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</si>
  <si>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</si>
  <si>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</si>
  <si>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</si>
  <si>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</si>
  <si>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</si>
  <si>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</si>
  <si>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 Carrara</t>
  </si>
  <si>
    <t>Matera</t>
  </si>
  <si>
    <t>Messina</t>
  </si>
  <si>
    <t>Milano</t>
  </si>
  <si>
    <t>Modena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</si>
  <si>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</si>
  <si>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</si>
  <si>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</si>
  <si>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</si>
  <si>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</si>
  <si>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</si>
  <si>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</si>
  <si>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</si>
  <si>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</si>
  <si>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Pesaro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</si>
  <si>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</si>
  <si>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</si>
  <si>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</si>
  <si>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</si>
  <si>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</si>
  <si>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</si>
  <si>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</si>
  <si>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</si>
  <si>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</si>
  <si>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</si>
  <si>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DATI DI INGRESSO</t>
  </si>
  <si>
    <t>provincia di installazione</t>
  </si>
  <si>
    <t>TILT (°)</t>
  </si>
  <si>
    <t>UNI 10349</t>
  </si>
  <si>
    <t>Perdite di trasformazione dell'impianto</t>
  </si>
  <si>
    <t>Eventuali ulteriori fattori di riduzione</t>
  </si>
  <si>
    <t>producibilità per kW installato, al netto delle perdite</t>
  </si>
  <si>
    <r>
      <t>es. per parziali ombreggiamenti, ecc.</t>
    </r>
    <r>
      <rPr>
        <sz val="10"/>
        <rFont val="Arial"/>
        <family val="2"/>
      </rPr>
      <t xml:space="preserve"> (</t>
    </r>
    <r>
      <rPr>
        <u/>
        <sz val="10"/>
        <rFont val="Arial"/>
        <family val="2"/>
      </rPr>
      <t>E' generalmente corretto considerare almeno il 3%)</t>
    </r>
  </si>
  <si>
    <t>Producibilità lorda unitaria (kWh/kWp)</t>
  </si>
  <si>
    <t>Producibilità netta unitaria (kWh/kWp)</t>
  </si>
  <si>
    <t>PVGIS</t>
  </si>
  <si>
    <t>EST</t>
  </si>
  <si>
    <t>SUD </t>
  </si>
  <si>
    <t>OVEST</t>
  </si>
  <si>
    <t> -90°</t>
  </si>
  <si>
    <t> -75°</t>
  </si>
  <si>
    <t> -60°</t>
  </si>
  <si>
    <t> -45°</t>
  </si>
  <si>
    <t> -30°</t>
  </si>
  <si>
    <t> -15°</t>
  </si>
  <si>
    <t>  0°</t>
  </si>
  <si>
    <t> 0,89</t>
  </si>
  <si>
    <t>AZIMUT  (° risp. SUD)                          ( "+" direz. OVEST  "-" direz. EST)</t>
  </si>
  <si>
    <t>T I LT</t>
  </si>
  <si>
    <t>perdite per orientamento e inclinazione non ideali</t>
  </si>
  <si>
    <t>0° piano orizzontale  ;  90° piano verticale</t>
  </si>
  <si>
    <t>15°</t>
  </si>
  <si>
    <t>45°</t>
  </si>
  <si>
    <t>indicazioni secondo PVGIS;    sono già considerate le perdite proprie dei moduli per temperatura, mismatching, riflessione etc.</t>
  </si>
  <si>
    <t> 30°</t>
  </si>
  <si>
    <t> 60°</t>
  </si>
  <si>
    <t> 75°</t>
  </si>
  <si>
    <t> 90°</t>
  </si>
  <si>
    <r>
      <t xml:space="preserve">perdite legate all'inverter, ai cavi elettrici; sporcamento moduli ecc. </t>
    </r>
    <r>
      <rPr>
        <u/>
        <sz val="8"/>
        <rFont val="Arial"/>
        <family val="2"/>
      </rPr>
      <t>(E' generalmente corretto considerare almeno il 4%)</t>
    </r>
  </si>
  <si>
    <t>Totale delle perdite di producibilità</t>
  </si>
  <si>
    <r>
      <t xml:space="preserve"> </t>
    </r>
    <r>
      <rPr>
        <u/>
        <sz val="10"/>
        <rFont val="Arial"/>
        <family val="2"/>
      </rPr>
      <t>(E' generalmente corretto considerare  lo 0,8%</t>
    </r>
    <r>
      <rPr>
        <sz val="10"/>
        <rFont val="Arial"/>
        <family val="2"/>
      </rPr>
      <t>)</t>
    </r>
  </si>
  <si>
    <t>perdita di producibilità annua per invecchiamento dei moduli</t>
  </si>
  <si>
    <t>perdita di producibilità per invecchiamento dei moduli in 25 anni</t>
  </si>
  <si>
    <t>Producibilità totale netta prevista dall'impianto al primo anno  (kWh/anno)</t>
  </si>
  <si>
    <t>spesa per energia prelevata    €/anno</t>
  </si>
  <si>
    <t>Somma ricavi annuali + risparmio in bolletta</t>
  </si>
  <si>
    <t>XTM</t>
  </si>
  <si>
    <t>XTH</t>
  </si>
  <si>
    <t>perdita ricavo annuo</t>
  </si>
  <si>
    <t>kWh/a</t>
  </si>
  <si>
    <t>XTM 2000-12</t>
  </si>
  <si>
    <t>XTM 3500-24</t>
  </si>
  <si>
    <t>XTM 4000-48</t>
  </si>
  <si>
    <t>XTH 6000-48</t>
  </si>
  <si>
    <t>,,,,,,,,,,,,,,,,,,,,,,,,,,,,,,,,,,,,,,,,,,,,,,,,,,,,,,,,,,,,,</t>
  </si>
  <si>
    <t>impianto  su edificio intestatato a soggetto privato</t>
  </si>
  <si>
    <t>funzioni</t>
  </si>
  <si>
    <r>
      <t xml:space="preserve">tratto da  </t>
    </r>
    <r>
      <rPr>
        <b/>
        <sz val="14"/>
        <rFont val="Arial Rounded MT Bold"/>
        <family val="2"/>
      </rPr>
      <t>www.solar-power24.eu</t>
    </r>
  </si>
  <si>
    <t>POTENZA IMPIANTO ESISTENTE (kWp)</t>
  </si>
  <si>
    <t>POTENZA TOTALE IMPIANTO (kWp)</t>
  </si>
  <si>
    <t>dimensione impianto aggiunto Kw</t>
  </si>
  <si>
    <t>dimensione impianto esistente Kw</t>
  </si>
  <si>
    <t>POTENZA IMPIANTO AGGIUNTA (kWp)</t>
  </si>
  <si>
    <t>nome kit</t>
  </si>
  <si>
    <t>ENERGIA ACCUMULABILE
NETTA UTILE
kwh/anno</t>
  </si>
  <si>
    <t>160-12</t>
  </si>
  <si>
    <t>260-12</t>
  </si>
  <si>
    <t>300-12</t>
  </si>
  <si>
    <t>160---24</t>
  </si>
  <si>
    <t>200-24</t>
  </si>
  <si>
    <t>400-12</t>
  </si>
  <si>
    <t>260-24</t>
  </si>
  <si>
    <t>300-24</t>
  </si>
  <si>
    <t>160-48</t>
  </si>
  <si>
    <t>200-48</t>
  </si>
  <si>
    <t>400-24</t>
  </si>
  <si>
    <t>260-48</t>
  </si>
  <si>
    <t>300-48</t>
  </si>
  <si>
    <t>400-48</t>
  </si>
  <si>
    <t>costo batterie</t>
  </si>
  <si>
    <t>costo inverter</t>
  </si>
  <si>
    <t>XTS</t>
  </si>
  <si>
    <t>XTS 900-12</t>
  </si>
  <si>
    <t>TIPO INVERTER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</si>
  <si>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</si>
  <si>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</si>
  <si>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</si>
  <si>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</si>
  <si>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</si>
  <si>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</si>
  <si>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</si>
  <si>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</si>
  <si>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</si>
  <si>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</si>
  <si>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</si>
  <si>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</si>
  <si>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fascia solare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</si>
  <si>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</si>
  <si>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</si>
  <si>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</si>
  <si>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</si>
  <si>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</si>
  <si>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</si>
  <si>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</si>
  <si>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</si>
  <si>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</si>
  <si>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</si>
  <si>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</si>
  <si>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</si>
  <si>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energia accumulabile utile  (kWh/anno)</t>
  </si>
  <si>
    <t>energia accumulabile utile  (kWh/ciclo)</t>
  </si>
  <si>
    <t>COSTO inverter (iva esclusa)</t>
  </si>
  <si>
    <t>COSTO batterie (iva esclusa)</t>
  </si>
  <si>
    <t>energia nominale dell'accumulo  (kWh/ciclo)</t>
  </si>
  <si>
    <t>variabile in base dimensioni e tipologia (da 1500 a 2500)</t>
  </si>
  <si>
    <t>Reggio 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</si>
  <si>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</si>
  <si>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</si>
  <si>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</si>
  <si>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</si>
  <si>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</si>
  <si>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</si>
  <si>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</si>
  <si>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</si>
  <si>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</si>
  <si>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</si>
  <si>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</si>
  <si>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</si>
  <si>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</si>
  <si>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</si>
  <si>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</si>
  <si>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Trento</t>
  </si>
  <si>
    <t>Treviso</t>
  </si>
  <si>
    <t>Trieste</t>
  </si>
  <si>
    <t>Udine</t>
  </si>
  <si>
    <t>Varese</t>
  </si>
  <si>
    <t>Venezia</t>
  </si>
  <si>
    <t>Verbania</t>
  </si>
  <si>
    <t>Vercelli</t>
  </si>
  <si>
    <t>Verona</t>
  </si>
  <si>
    <t>Vicenza</t>
  </si>
  <si>
    <t>Viterbo</t>
  </si>
  <si>
    <t>0</t>
  </si>
  <si>
    <t>DIMENSIONAMENTO ACCUMULO</t>
  </si>
  <si>
    <t>consumo annuo attuale (kWh)</t>
  </si>
  <si>
    <t>COSTO TOTALE ACCUMULO
 (iva 10% esclusa)</t>
  </si>
  <si>
    <t>predlievi</t>
  </si>
  <si>
    <t>importo</t>
  </si>
  <si>
    <t>% autoconsumo</t>
  </si>
  <si>
    <t>cessioni in rete</t>
  </si>
  <si>
    <t>autoconsumo proprio</t>
  </si>
  <si>
    <t>%autoconsumo</t>
  </si>
  <si>
    <t>autoconsumo mese</t>
  </si>
  <si>
    <t>giorni nuvolosi</t>
  </si>
  <si>
    <t>detrazione fiscale 50% 
(rata annuale per 10 anni)</t>
  </si>
  <si>
    <t>Fasce orarie</t>
  </si>
  <si>
    <t>ENEL - Calcolo Bollette</t>
  </si>
  <si>
    <t>F1</t>
  </si>
  <si>
    <t>08.00-19.00</t>
  </si>
  <si>
    <t>S1</t>
  </si>
  <si>
    <t>S2</t>
  </si>
  <si>
    <t>S3</t>
  </si>
  <si>
    <t>S4</t>
  </si>
  <si>
    <t>F2</t>
  </si>
  <si>
    <t>19.00-23.00</t>
  </si>
  <si>
    <t>F3</t>
  </si>
  <si>
    <t>23.00-07.00</t>
  </si>
  <si>
    <t>Consumi</t>
  </si>
  <si>
    <t>Importo Bolletta</t>
  </si>
  <si>
    <t>Tariffe</t>
  </si>
  <si>
    <t>Periodo Fatturazione</t>
  </si>
  <si>
    <t>Giorni</t>
  </si>
  <si>
    <t>Parziale Tariffa</t>
  </si>
  <si>
    <t>Quota Energia (€/Kwh)</t>
  </si>
  <si>
    <t>Anni</t>
  </si>
  <si>
    <t>Precedente</t>
  </si>
  <si>
    <t>Attuale</t>
  </si>
  <si>
    <t>Prelievi</t>
  </si>
  <si>
    <t>F0</t>
  </si>
  <si>
    <t>Contratto (kw)</t>
  </si>
  <si>
    <t>Quota Fissa</t>
  </si>
  <si>
    <t>€/a</t>
  </si>
  <si>
    <t>Quota Potenza</t>
  </si>
  <si>
    <t>€/kw/a</t>
  </si>
  <si>
    <t>Accisa Energia</t>
  </si>
  <si>
    <t>€/kwh</t>
  </si>
  <si>
    <t>Addizionale Locale</t>
  </si>
  <si>
    <t>Addizionale Loc.</t>
  </si>
  <si>
    <t>Quota Energia</t>
  </si>
  <si>
    <t>Bioraria</t>
  </si>
  <si>
    <t>IVA</t>
  </si>
  <si>
    <t>Importo periodo</t>
  </si>
  <si>
    <t>COSTO MEDIO €/KWh</t>
  </si>
  <si>
    <t>Totale Periodo</t>
  </si>
  <si>
    <t>IMPORTO BOLLETTA</t>
  </si>
  <si>
    <t>servizio di maggior tutela</t>
  </si>
  <si>
    <t>COSTO installazione accumulo (iva esclusa)</t>
  </si>
  <si>
    <t>COSTO TOTALE ACCUMULO
    (iva 10% esclusa)</t>
  </si>
  <si>
    <t>consumo mese</t>
  </si>
  <si>
    <t>dic-gen</t>
  </si>
  <si>
    <t>feb-mar</t>
  </si>
  <si>
    <t>apr-mag</t>
  </si>
  <si>
    <t>giu-lug</t>
  </si>
  <si>
    <t>ago-set</t>
  </si>
  <si>
    <t>ott-nov</t>
  </si>
  <si>
    <t>costo totale €  (iva 10% compresa)</t>
  </si>
  <si>
    <t>costo totale impianto aggiunto (ESCLUSO ACCUMULO) €</t>
  </si>
  <si>
    <t>Ricavo annuale  €/anno  (differenza prima e dopo)</t>
  </si>
  <si>
    <t>importo bollette</t>
  </si>
  <si>
    <t>KIT BATTERIE SELEZIONATO</t>
  </si>
  <si>
    <t>settebre</t>
  </si>
  <si>
    <t>DOPPIONI</t>
  </si>
  <si>
    <t>lettura in fascia F1</t>
  </si>
  <si>
    <t>lettura in fascia F3</t>
  </si>
  <si>
    <t>lettura in fascia F2</t>
  </si>
  <si>
    <t>TOTALI</t>
  </si>
  <si>
    <t>CONSUMO ANNUO (KwH)</t>
  </si>
  <si>
    <t>provincia del sito di installazione</t>
  </si>
  <si>
    <t xml:space="preserve"> €/KWh</t>
  </si>
  <si>
    <t>COSTO MEDIO del bimestre</t>
  </si>
  <si>
    <t>CALCOLO CONSUMO E SPESA ANNUA (da bollette)</t>
  </si>
  <si>
    <t>da inserire nel foglio "GUIDA dimensionamento ACCUMULO" 
con le caratteristiche complete dell'impianto  (TILT, AZIMUT etc)</t>
  </si>
  <si>
    <t>% di autoconsumo  attuale in regime di SSP</t>
  </si>
  <si>
    <t>costo annuo ATTUALE pagato in bolletta €</t>
  </si>
  <si>
    <t>RIASSUNTIVO RISULTATI e REMUNERAZIONE IMPIANTO</t>
  </si>
  <si>
    <r>
      <t>Costo unitario impianto aggiunto ESCLUSO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ACCUMULO  </t>
    </r>
    <r>
      <rPr>
        <sz val="8"/>
        <rFont val="Arial"/>
        <family val="2"/>
      </rPr>
      <t xml:space="preserve"> iva 10% esclusa (€/Kwp)</t>
    </r>
  </si>
  <si>
    <t>energia accumulabile utile  all'anno  (kWh/anno)</t>
  </si>
  <si>
    <t>dimensione pacco batterie  
(ah - tensione)</t>
  </si>
  <si>
    <t xml:space="preserve">prelevato dal foglio "GUIDA dimensionamento ACCUMULO" </t>
  </si>
  <si>
    <t xml:space="preserve">valore medio in assenza di accumulo 30% </t>
  </si>
  <si>
    <r>
      <t>CONFRONTO CONSUMI prima e dopo installazione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>impianto</t>
    </r>
  </si>
  <si>
    <t>PRIMA</t>
  </si>
  <si>
    <t>DOPO</t>
  </si>
  <si>
    <t>% di autoconsumo in regime di SSP</t>
  </si>
  <si>
    <t>producibilità annua prevista (kWh)</t>
  </si>
  <si>
    <t>TOTALE FLUSSI DI CASSA CUMULATI IN 20 ANNI</t>
  </si>
  <si>
    <t>TOTALE RICAVI e in SSP e RISPARMI IN BOLLETTA in 20 anni (€)</t>
  </si>
  <si>
    <t>energia accumulabile utile  al ciclo  (kWh/ciclo)</t>
  </si>
  <si>
    <t>autoconsumo gg</t>
  </si>
  <si>
    <t>autocon  mese</t>
  </si>
  <si>
    <t>accumulo assente</t>
  </si>
  <si>
    <t>Modello Inverter STECA o STUDER consigliato</t>
  </si>
  <si>
    <t>XTH 8000-48</t>
  </si>
  <si>
    <t>2x260 - 48</t>
  </si>
  <si>
    <t>700-48</t>
  </si>
  <si>
    <t>2x400 - 48</t>
  </si>
  <si>
    <t>2x300 - 48</t>
  </si>
  <si>
    <t>Tipo inverter</t>
  </si>
  <si>
    <t>potenza picco</t>
  </si>
  <si>
    <t>tensione</t>
  </si>
  <si>
    <t>prezzo web  i.e.</t>
  </si>
  <si>
    <t>rendimento batterie</t>
  </si>
  <si>
    <t>RENDIMENTO INVERTER</t>
  </si>
  <si>
    <t>--</t>
  </si>
  <si>
    <t>AGM generica</t>
  </si>
  <si>
    <t>inverter 48 V</t>
  </si>
  <si>
    <t>totale energia scambiata dall'accumulo nella propria vita (kWh)</t>
  </si>
  <si>
    <r>
      <t xml:space="preserve">costo complessivo  iva e installazione compresi </t>
    </r>
    <r>
      <rPr>
        <sz val="8"/>
        <rFont val="Arial"/>
        <family val="2"/>
      </rPr>
      <t>SENZA CONSIDERARE DETRAZIONI</t>
    </r>
  </si>
  <si>
    <t>COSTO dell'energia scambiata dall'accumulo (€/kWh) iva 10% esclusa</t>
  </si>
  <si>
    <t>si</t>
  </si>
  <si>
    <t>no</t>
  </si>
  <si>
    <t>SCELTA PREZZI VISIBILI</t>
  </si>
  <si>
    <t>VUOI CRIPTARE I PREZZI  ??</t>
  </si>
  <si>
    <t>------------------</t>
  </si>
  <si>
    <t>COSTO dell'energia scambiata dall'accumulo (€/kWh) iva 10% compresa</t>
  </si>
  <si>
    <t>Si considerano costi totali COMPRESA INSTALLAZIONE IVA ESCLUSA</t>
  </si>
  <si>
    <t>costo totale visibile</t>
  </si>
  <si>
    <t>*   durata batterie 5000 cicli ; utilizzo 1 ciclo giorno;  iva esclusa   senza detrazione e senza costo di installazione</t>
  </si>
  <si>
    <t>PER QUOTAZIONI DI IMPIANTI TRIFASE  SU RICHIESTA   inviare mail ad info&lt;at&gt;solar-power24.eu</t>
  </si>
  <si>
    <t>Importo Bolletta DOPO INSTALLAZIONE</t>
  </si>
  <si>
    <t>casella b16 fissa</t>
  </si>
  <si>
    <t>selezionare 0 se non si vuole installare accumulo</t>
  </si>
  <si>
    <t>importo rimborsato con SSP €/kwh</t>
  </si>
  <si>
    <t>%autoconsumo mensile proprio attuale</t>
  </si>
  <si>
    <t>potenza attuale</t>
  </si>
  <si>
    <t>zona solare</t>
  </si>
  <si>
    <t>prod mese vecchia</t>
  </si>
  <si>
    <t>prod mese attuale</t>
  </si>
  <si>
    <t>%autoconsumo mensile proprio vecchio</t>
  </si>
  <si>
    <t>l'energia autoconsumata rimane identica in valore assoluto se incremento SOLO potenza impianto e non varia consumo medio: VARIA LA %</t>
  </si>
  <si>
    <t>prod media gg x fascia solare</t>
  </si>
  <si>
    <t>se vero no accumulo</t>
  </si>
  <si>
    <t>primo bimestre (DIC-GEN)</t>
  </si>
  <si>
    <t>sec. Bimestre (FEB-MAR)</t>
  </si>
  <si>
    <t xml:space="preserve"> terzo bimestre (APR-MAG)</t>
  </si>
  <si>
    <t>quarto bimestre (GIU-LUG)</t>
  </si>
  <si>
    <t>sesto bimestre (OTT-NOV)</t>
  </si>
  <si>
    <t>quinto bimestre (AGO-SET)</t>
  </si>
  <si>
    <t>D1</t>
  </si>
  <si>
    <t>D2</t>
  </si>
  <si>
    <t>D3</t>
  </si>
  <si>
    <t>CV</t>
  </si>
  <si>
    <t>DSP</t>
  </si>
  <si>
    <t>QE F1</t>
  </si>
  <si>
    <t>QE F23</t>
  </si>
  <si>
    <t xml:space="preserve">DSPF1 </t>
  </si>
  <si>
    <t>DSPF23</t>
  </si>
  <si>
    <t>DSP fino 1800</t>
  </si>
  <si>
    <t>DSP oltre4400</t>
  </si>
  <si>
    <t>DSP fino2640</t>
  </si>
  <si>
    <t>QP</t>
  </si>
  <si>
    <t>QVfino1800</t>
  </si>
  <si>
    <t>QVfino2640</t>
  </si>
  <si>
    <t>QVfino4400</t>
  </si>
  <si>
    <t>QVoltre4400</t>
  </si>
  <si>
    <t>PPE</t>
  </si>
  <si>
    <t>QF €/cliente/mese</t>
  </si>
  <si>
    <t>DSP FINO4400</t>
  </si>
  <si>
    <t>QUOTA  FISSA /ANNO</t>
  </si>
  <si>
    <t>Inserire i giorni del periodo e i kWh prelevati</t>
  </si>
  <si>
    <t>giorni</t>
  </si>
  <si>
    <t>kWh</t>
  </si>
  <si>
    <t>mesi</t>
  </si>
  <si>
    <t>consumo mensile</t>
  </si>
  <si>
    <t>Esenti/mese</t>
  </si>
  <si>
    <t>NonEsenti/mese</t>
  </si>
  <si>
    <t>kWh soggetti ad accisa (Non Esenti)</t>
  </si>
  <si>
    <t>Giorni in un anno</t>
  </si>
  <si>
    <t>giorni in un mese</t>
  </si>
  <si>
    <t>1o scaglione F1</t>
  </si>
  <si>
    <t>1o scaglione F/3</t>
  </si>
  <si>
    <t>2o scaglione F1</t>
  </si>
  <si>
    <t>2o scaglione F2/3</t>
  </si>
  <si>
    <t>3o scaglione F1</t>
  </si>
  <si>
    <t>proiezione consumi</t>
  </si>
  <si>
    <t>proiezione spesa annua</t>
  </si>
  <si>
    <t>bolletta di conguaglio</t>
  </si>
  <si>
    <t>prelevato dal
  "FOGLIO RACCOLTA DATI"</t>
  </si>
  <si>
    <t>SCELTA tariffa D1</t>
  </si>
  <si>
    <t>VUOI CALCOLARE LA BOLLETTA E FARE LE SIMULAZIONI 
CON LA TARIFFA SPERIMENTALE D1  ??</t>
  </si>
  <si>
    <t>N.B.  Il presente foglio vale solo per la simulazione della bolletta e NON HA ALCUN LEGAME CON LE ALTRE SIMULAZIONI
 UTILIZZARE il "FOGLIO RACCOLTA DATI" per inserire i consumi</t>
  </si>
  <si>
    <t>200-12</t>
  </si>
  <si>
    <t>CONFIGURAZIONI DISPONIBILI SU RICHIESTA</t>
  </si>
  <si>
    <r>
      <t xml:space="preserve">tratto da  </t>
    </r>
    <r>
      <rPr>
        <b/>
        <sz val="12"/>
        <rFont val="Cambria"/>
        <family val="1"/>
      </rPr>
      <t>www.solar-power24.eu</t>
    </r>
  </si>
  <si>
    <t>SPESA BOLLETTE (€/anno)</t>
  </si>
  <si>
    <t>©  ING. ROBERTO B.    info@solar-power24.eu</t>
  </si>
  <si>
    <t>valore medio 0,12 €/kWh</t>
  </si>
  <si>
    <t xml:space="preserve">  €/kWh/anno) </t>
  </si>
  <si>
    <t xml:space="preserve">ricavo per energia immessa in rete con SSP (valore medio  </t>
  </si>
  <si>
    <t>non significativo tranne se nuovo</t>
  </si>
  <si>
    <t xml:space="preserve">ANALISI FINANZIARIA DELL'INVESTIMENTO                                   </t>
  </si>
  <si>
    <t>profilo consumo con PDC</t>
  </si>
  <si>
    <t>profilo consumo NORMALE</t>
  </si>
  <si>
    <t>VALORI MEDI GIORNALIERI  mese per mese</t>
  </si>
  <si>
    <t>A</t>
  </si>
  <si>
    <t xml:space="preserve">B  </t>
  </si>
  <si>
    <t>CONSUMO  (kWh)</t>
  </si>
  <si>
    <t>AUTOCONSUMO PROPRIO  (kWh)</t>
  </si>
  <si>
    <t>ENERGIA DISPONIBILE 
IMMISSIONE ACCUMULO (kWh)</t>
  </si>
  <si>
    <t>IMMISSIONE  IN RETE (kWH)</t>
  </si>
  <si>
    <t>sì</t>
  </si>
  <si>
    <t>casualità aumento prelievi</t>
  </si>
  <si>
    <t>POTENZA CONTATORE  (KwH)</t>
  </si>
  <si>
    <t>VUOI  FARE LE SIMULAZIONI 
CONSIDERANDO PROFILO CONSUMI DI POMPE DI CALORE ??</t>
  </si>
  <si>
    <t>energia consumata all'anno (kWh)</t>
  </si>
  <si>
    <t>vva1</t>
  </si>
  <si>
    <t>SPESA TOTALE INIZIALE
(iva 10% compresa)</t>
  </si>
  <si>
    <t>l'importo medio del rimborso in €/kWh è modificabile nella casella M29</t>
  </si>
  <si>
    <t>riconsiderare i parametri
COSI' L'ACCUMULO NON CONVIENE!!</t>
  </si>
  <si>
    <t>MESE</t>
  </si>
  <si>
    <t>CAPACITA' DI ACCUMULO (KWh/ciclo)</t>
  </si>
  <si>
    <t>AUTOCONSUMO dovuto
alle BATTERIE (kWh)</t>
  </si>
  <si>
    <t>AUTOCONSUMO TOTALE  (kWh)</t>
  </si>
  <si>
    <t>PRODUZIONE
(kWh)</t>
  </si>
  <si>
    <t>A - B</t>
  </si>
  <si>
    <t>K</t>
  </si>
  <si>
    <t>C</t>
  </si>
  <si>
    <t>D</t>
  </si>
  <si>
    <t>B + C</t>
  </si>
  <si>
    <t>A -B - C</t>
  </si>
  <si>
    <t>(D - B - C) x **</t>
  </si>
  <si>
    <t>**  MAGGIORAZIONE per periodi perturbati</t>
  </si>
  <si>
    <t>N.B. si è superato limite di 6kW valido per impianti monofase
VERIFICARE PARAMETRI</t>
  </si>
  <si>
    <t>ENERGIA ACCUMULATA     (kWh)</t>
  </si>
  <si>
    <t>PRELIEVO
 (kWh)</t>
  </si>
  <si>
    <t>segue</t>
  </si>
  <si>
    <t>capacità nominale   (Ah)</t>
  </si>
  <si>
    <t>tensione
V</t>
  </si>
  <si>
    <r>
      <t xml:space="preserve">costo batterie
</t>
    </r>
    <r>
      <rPr>
        <b/>
        <i/>
        <sz val="11"/>
        <rFont val="Arial"/>
        <family val="2"/>
      </rPr>
      <t>(iva esclusa)</t>
    </r>
  </si>
  <si>
    <r>
      <t xml:space="preserve">costo inverter
</t>
    </r>
    <r>
      <rPr>
        <b/>
        <i/>
        <sz val="11"/>
        <rFont val="Arial"/>
        <family val="2"/>
      </rPr>
      <t>(iva esclusa)</t>
    </r>
  </si>
  <si>
    <r>
      <t xml:space="preserve">costo totale 
</t>
    </r>
    <r>
      <rPr>
        <b/>
        <i/>
        <sz val="11"/>
        <rFont val="Arial"/>
        <family val="2"/>
      </rPr>
      <t>(iva esclusa)</t>
    </r>
  </si>
  <si>
    <t>costo energia immagazzinata
 (* vedi nota)  €/kwh</t>
  </si>
  <si>
    <r>
      <t xml:space="preserve">TOTALE CONSUMI ANNUI </t>
    </r>
    <r>
      <rPr>
        <sz val="10"/>
        <rFont val="Calibri"/>
        <family val="2"/>
        <scheme val="minor"/>
      </rPr>
      <t>(KWh)</t>
    </r>
  </si>
  <si>
    <t>Tariffe valide da MAR-16 a GIU-16</t>
  </si>
  <si>
    <t>num cicli con 70% DOD</t>
  </si>
  <si>
    <t>*   durata batterie 7000 cicli ; utilizzo 1 ciclo giorno;   senza detrazione e senza costo di installazione</t>
  </si>
  <si>
    <t>CAPACITA' di ACCUMULO NOMINALE  (kWh/ciclo)</t>
  </si>
  <si>
    <t>EnergiA scambiata nella vita (KwH)</t>
  </si>
  <si>
    <t>costo unitario dell'accumulo €/kWh
 iva esclusa</t>
  </si>
  <si>
    <r>
      <t>NB:  I RISULTATI EFFETTIVI POTREBBERO ESSERE MOLTO DIVERSI</t>
    </r>
    <r>
      <rPr>
        <b/>
        <i/>
        <sz val="11"/>
        <rFont val="Arial"/>
        <family val="2"/>
      </rPr>
      <t xml:space="preserve"> 
a causa della variabilità delle possibili condizioni di funzionamento e del contratto di energia adottato</t>
    </r>
  </si>
</sst>
</file>

<file path=xl/styles.xml><?xml version="1.0" encoding="utf-8"?>
<styleSheet xmlns="http://schemas.openxmlformats.org/spreadsheetml/2006/main">
  <numFmts count="38">
    <numFmt numFmtId="6" formatCode="&quot;€&quot;\ #,##0;[Red]\-&quot;€&quot;\ #,##0"/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&quot;$&quot;#,##0_);\(&quot;$&quot;#,##0\)"/>
    <numFmt numFmtId="166" formatCode="&quot;$&quot;#,##0.00_);\(&quot;$&quot;#,##0.00\)"/>
    <numFmt numFmtId="167" formatCode="#.00"/>
    <numFmt numFmtId="168" formatCode="0.0000"/>
    <numFmt numFmtId="169" formatCode="_(&quot;L.&quot;* #,##0.00_);_(&quot;L.&quot;* \(#,##0.00\);_(&quot;L.&quot;* &quot;-&quot;??_);_(@_)"/>
    <numFmt numFmtId="170" formatCode="&quot;€&quot;\ #,##0.000"/>
    <numFmt numFmtId="171" formatCode="&quot;€&quot;\ 0.000"/>
    <numFmt numFmtId="172" formatCode="&quot;€&quot;\ 0"/>
    <numFmt numFmtId="173" formatCode="#,##0.000"/>
    <numFmt numFmtId="174" formatCode="#,##0\ &quot;€&quot;;[Red]\-#,##0\ &quot;€&quot;"/>
    <numFmt numFmtId="175" formatCode="0.00000000"/>
    <numFmt numFmtId="176" formatCode="_-* #,##0\ &quot;€&quot;_-;\-* #,##0\ &quot;€&quot;_-;_-* &quot;-&quot;??\ &quot;€&quot;_-;_-@_-"/>
    <numFmt numFmtId="177" formatCode="&quot;€&quot;\ 0.0"/>
    <numFmt numFmtId="178" formatCode="&quot;€&quot;\ 0.00"/>
    <numFmt numFmtId="179" formatCode="&quot;€&quot;\ #.##0,;[Red]\-\ &quot;€&quot;\ #,##0"/>
    <numFmt numFmtId="180" formatCode="&quot;€&quot;\ 0;[Red]\-\ &quot;€&quot;\ 0"/>
    <numFmt numFmtId="181" formatCode="0.0%"/>
    <numFmt numFmtId="182" formatCode="_-* #,##0_-;\-* #,##0_-;_-* \-??_-;_-@_-"/>
    <numFmt numFmtId="183" formatCode="0\°"/>
    <numFmt numFmtId="184" formatCode="0.00;[Red]0.00"/>
    <numFmt numFmtId="185" formatCode="0;[Red]\-\ 0"/>
    <numFmt numFmtId="186" formatCode="0.000"/>
    <numFmt numFmtId="187" formatCode="&quot;€&quot;\ #,##0.00"/>
    <numFmt numFmtId="188" formatCode="0.000000"/>
    <numFmt numFmtId="189" formatCode="dd/mm/yyyy;@"/>
    <numFmt numFmtId="190" formatCode="[$€-2]\ #,##0.00"/>
    <numFmt numFmtId="191" formatCode="0.000000000000000000000000"/>
    <numFmt numFmtId="192" formatCode="_-* #,##0.000_-;\-* #,##0.000_-;_-* &quot;-&quot;???_-;_-@_-"/>
    <numFmt numFmtId="193" formatCode="0.000%"/>
    <numFmt numFmtId="194" formatCode="0.00_ ;[Red]\-0.00\ "/>
    <numFmt numFmtId="195" formatCode="_-&quot;€&quot;\ * #,##0.0_-;\-&quot;€&quot;\ * #,##0.0_-;_-&quot;€&quot;\ * &quot;-&quot;?_-;_-@_-"/>
    <numFmt numFmtId="196" formatCode="#,##0.0"/>
    <numFmt numFmtId="197" formatCode="#,##0.0_ ;\-#,##0.0\ "/>
  </numFmts>
  <fonts count="8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Courier"/>
      <family val="3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b/>
      <sz val="14"/>
      <name val="Arial Rounded MT Bold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1"/>
      <color indexed="55"/>
      <name val="Calibri"/>
      <family val="2"/>
    </font>
    <font>
      <i/>
      <sz val="12"/>
      <color indexed="55"/>
      <name val="Calibri"/>
      <family val="2"/>
    </font>
    <font>
      <i/>
      <sz val="11"/>
      <color indexed="55"/>
      <name val="Calibri"/>
      <family val="2"/>
    </font>
    <font>
      <sz val="11"/>
      <color indexed="8"/>
      <name val="Calibri"/>
      <family val="2"/>
    </font>
    <font>
      <i/>
      <sz val="20"/>
      <color indexed="53"/>
      <name val="Bookman Old Style"/>
      <family val="1"/>
    </font>
    <font>
      <sz val="14"/>
      <color indexed="62"/>
      <name val="Calibri"/>
      <family val="2"/>
    </font>
    <font>
      <sz val="14"/>
      <color indexed="60"/>
      <name val="Calibri"/>
      <family val="2"/>
    </font>
    <font>
      <i/>
      <sz val="11"/>
      <color indexed="8"/>
      <name val="Calibri"/>
      <family val="2"/>
    </font>
    <font>
      <i/>
      <sz val="11"/>
      <color indexed="60"/>
      <name val="Calibri"/>
      <family val="2"/>
    </font>
    <font>
      <i/>
      <sz val="11"/>
      <color indexed="16"/>
      <name val="Calibri"/>
      <family val="2"/>
    </font>
    <font>
      <i/>
      <sz val="11"/>
      <color indexed="23"/>
      <name val="Calibri"/>
      <family val="2"/>
    </font>
    <font>
      <i/>
      <sz val="11"/>
      <color indexed="57"/>
      <name val="Calibri"/>
      <family val="2"/>
    </font>
    <font>
      <i/>
      <sz val="11"/>
      <color indexed="62"/>
      <name val="Calibri"/>
      <family val="2"/>
    </font>
    <font>
      <b/>
      <i/>
      <sz val="11"/>
      <color indexed="55"/>
      <name val="Calibri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5"/>
      <name val="Calibri"/>
      <family val="2"/>
    </font>
    <font>
      <sz val="11"/>
      <color indexed="30"/>
      <name val="Calibri"/>
      <family val="2"/>
    </font>
    <font>
      <i/>
      <u/>
      <sz val="11"/>
      <color indexed="16"/>
      <name val="Calibri"/>
      <family val="2"/>
    </font>
    <font>
      <b/>
      <sz val="1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55"/>
      <name val="Calibri"/>
      <family val="2"/>
    </font>
    <font>
      <sz val="12"/>
      <color indexed="8"/>
      <name val="Calibri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i/>
      <sz val="14"/>
      <color indexed="53"/>
      <name val="Cambria"/>
      <family val="1"/>
    </font>
    <font>
      <sz val="14"/>
      <name val="Cambria"/>
      <family val="1"/>
    </font>
    <font>
      <b/>
      <sz val="12"/>
      <color theme="1" tint="4.9989318521683403E-2"/>
      <name val="Calibri"/>
      <family val="2"/>
    </font>
    <font>
      <sz val="12"/>
      <name val="Cambria"/>
      <family val="1"/>
    </font>
    <font>
      <sz val="10"/>
      <color indexed="8"/>
      <name val="Calibri"/>
      <family val="2"/>
    </font>
    <font>
      <sz val="10"/>
      <name val="Cambria"/>
      <family val="1"/>
    </font>
    <font>
      <b/>
      <sz val="12"/>
      <color indexed="8"/>
      <name val="Cambria"/>
      <family val="1"/>
    </font>
    <font>
      <b/>
      <sz val="12"/>
      <name val="Cambria"/>
      <family val="1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2"/>
      <name val="Calibri"/>
      <family val="2"/>
      <scheme val="minor"/>
    </font>
    <font>
      <b/>
      <i/>
      <sz val="11"/>
      <color indexed="8"/>
      <name val="Calibri"/>
      <family val="2"/>
    </font>
    <font>
      <sz val="14"/>
      <color indexed="8"/>
      <name val="Calibri"/>
      <family val="2"/>
    </font>
    <font>
      <sz val="10"/>
      <name val="Calibri"/>
      <family val="2"/>
    </font>
    <font>
      <b/>
      <sz val="8"/>
      <name val="Cambria"/>
      <family val="1"/>
    </font>
    <font>
      <sz val="8"/>
      <name val="Cambria"/>
      <family val="1"/>
    </font>
    <font>
      <b/>
      <sz val="9"/>
      <name val="Arial"/>
      <family val="2"/>
    </font>
    <font>
      <sz val="10"/>
      <name val="Calibri"/>
      <family val="2"/>
      <scheme val="minor"/>
    </font>
    <font>
      <b/>
      <i/>
      <sz val="1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1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57"/>
      </top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/>
      <right/>
      <top style="medium">
        <color indexed="64"/>
      </top>
      <bottom style="thick">
        <color indexed="57"/>
      </bottom>
      <diagonal/>
    </border>
    <border>
      <left/>
      <right/>
      <top style="thick">
        <color indexed="57"/>
      </top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0"/>
      </right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0"/>
      </left>
      <right/>
      <top/>
      <bottom style="medium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 style="medium">
        <color indexed="60"/>
      </right>
      <top/>
      <bottom style="medium">
        <color indexed="2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0"/>
      </left>
      <right/>
      <top style="medium">
        <color indexed="29"/>
      </top>
      <bottom style="medium">
        <color indexed="29"/>
      </bottom>
      <diagonal/>
    </border>
    <border>
      <left/>
      <right/>
      <top style="medium">
        <color indexed="29"/>
      </top>
      <bottom style="medium">
        <color indexed="29"/>
      </bottom>
      <diagonal/>
    </border>
    <border>
      <left/>
      <right style="medium">
        <color indexed="60"/>
      </right>
      <top style="medium">
        <color indexed="29"/>
      </top>
      <bottom style="medium">
        <color indexed="2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medium">
        <color indexed="29"/>
      </top>
      <bottom style="medium">
        <color indexed="60"/>
      </bottom>
      <diagonal/>
    </border>
    <border>
      <left/>
      <right/>
      <top style="medium">
        <color indexed="29"/>
      </top>
      <bottom style="medium">
        <color indexed="60"/>
      </bottom>
      <diagonal/>
    </border>
    <border>
      <left/>
      <right style="medium">
        <color indexed="60"/>
      </right>
      <top style="medium">
        <color indexed="29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2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/>
      <bottom style="medium">
        <color indexed="62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2"/>
      </top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 style="thick">
        <color indexed="57"/>
      </top>
      <bottom style="medium">
        <color indexed="6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/>
      <right/>
      <top/>
      <bottom style="thin">
        <color indexed="5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52"/>
      </left>
      <right/>
      <top style="thin">
        <color indexed="55"/>
      </top>
      <bottom style="thin">
        <color indexed="52"/>
      </bottom>
      <diagonal/>
    </border>
    <border>
      <left/>
      <right/>
      <top style="thin">
        <color indexed="55"/>
      </top>
      <bottom style="thin">
        <color indexed="5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55"/>
      </left>
      <right/>
      <top style="thin">
        <color indexed="52"/>
      </top>
      <bottom/>
      <diagonal/>
    </border>
    <border>
      <left style="medium">
        <color indexed="57"/>
      </left>
      <right style="thin">
        <color indexed="55"/>
      </right>
      <top style="medium">
        <color indexed="57"/>
      </top>
      <bottom/>
      <diagonal/>
    </border>
    <border>
      <left/>
      <right style="thin">
        <color indexed="55"/>
      </right>
      <top style="medium">
        <color indexed="57"/>
      </top>
      <bottom/>
      <diagonal/>
    </border>
    <border>
      <left style="thin">
        <color indexed="55"/>
      </left>
      <right/>
      <top style="medium">
        <color indexed="57"/>
      </top>
      <bottom style="thin">
        <color indexed="55"/>
      </bottom>
      <diagonal/>
    </border>
    <border>
      <left/>
      <right/>
      <top style="medium">
        <color indexed="57"/>
      </top>
      <bottom style="thin">
        <color indexed="55"/>
      </bottom>
      <diagonal/>
    </border>
    <border>
      <left/>
      <right style="medium">
        <color indexed="57"/>
      </right>
      <top style="medium">
        <color indexed="57"/>
      </top>
      <bottom style="thin">
        <color indexed="55"/>
      </bottom>
      <diagonal/>
    </border>
    <border>
      <left style="medium">
        <color indexed="57"/>
      </left>
      <right style="thin">
        <color indexed="55"/>
      </right>
      <top/>
      <bottom/>
      <diagonal/>
    </border>
    <border>
      <left/>
      <right style="medium">
        <color indexed="57"/>
      </right>
      <top style="thin">
        <color indexed="55"/>
      </top>
      <bottom style="thin">
        <color indexed="55"/>
      </bottom>
      <diagonal/>
    </border>
    <border>
      <left/>
      <right style="medium">
        <color indexed="57"/>
      </right>
      <top style="thin">
        <color indexed="55"/>
      </top>
      <bottom style="thin">
        <color indexed="52"/>
      </bottom>
      <diagonal/>
    </border>
    <border>
      <left style="medium">
        <color indexed="57"/>
      </left>
      <right style="thin">
        <color indexed="55"/>
      </right>
      <top/>
      <bottom style="medium">
        <color indexed="57"/>
      </bottom>
      <diagonal/>
    </border>
    <border>
      <left/>
      <right style="thin">
        <color indexed="55"/>
      </right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701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3" fontId="21" fillId="22" borderId="0" applyFont="0" applyFill="0" applyBorder="0" applyAlignment="0" applyProtection="0"/>
    <xf numFmtId="165" fontId="21" fillId="22" borderId="0" applyFont="0" applyFill="0" applyBorder="0" applyAlignment="0" applyProtection="0"/>
    <xf numFmtId="166" fontId="21" fillId="22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3" fillId="0" borderId="0">
      <protection locked="0"/>
    </xf>
    <xf numFmtId="164" fontId="21" fillId="22" borderId="0" applyFont="0" applyFill="0" applyBorder="0" applyAlignment="0" applyProtection="0"/>
    <xf numFmtId="2" fontId="21" fillId="22" borderId="0" applyFont="0" applyFill="0" applyBorder="0" applyAlignment="0" applyProtection="0"/>
    <xf numFmtId="168" fontId="21" fillId="22" borderId="0" applyFon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43" fontId="1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1" fillId="22" borderId="0" applyFont="0" applyFill="0" applyBorder="0" applyAlignment="0" applyProtection="0"/>
    <xf numFmtId="10" fontId="21" fillId="22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1" fillId="25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" fontId="24" fillId="22" borderId="0" applyFont="0" applyFill="0" applyBorder="0" applyAlignment="0" applyProtection="0"/>
    <xf numFmtId="4" fontId="25" fillId="22" borderId="0" applyFont="0" applyFill="0" applyBorder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66" fontId="21" fillId="22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</cellStyleXfs>
  <cellXfs count="886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6" borderId="1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174" fontId="0" fillId="0" borderId="14" xfId="0" applyNumberFormat="1" applyBorder="1"/>
    <xf numFmtId="176" fontId="0" fillId="0" borderId="16" xfId="0" applyNumberFormat="1" applyBorder="1" applyAlignment="1">
      <alignment horizontal="center"/>
    </xf>
    <xf numFmtId="10" fontId="0" fillId="0" borderId="0" xfId="0" applyNumberFormat="1" applyBorder="1" applyAlignment="1">
      <alignment horizontal="right"/>
    </xf>
    <xf numFmtId="4" fontId="0" fillId="0" borderId="0" xfId="0" applyNumberFormat="1" applyBorder="1"/>
    <xf numFmtId="177" fontId="0" fillId="27" borderId="13" xfId="0" applyNumberFormat="1" applyFill="1" applyBorder="1" applyAlignment="1">
      <alignment horizontal="center" vertical="center"/>
    </xf>
    <xf numFmtId="9" fontId="0" fillId="28" borderId="13" xfId="0" applyNumberFormat="1" applyFill="1" applyBorder="1" applyAlignment="1">
      <alignment horizontal="center" vertical="center" wrapText="1"/>
    </xf>
    <xf numFmtId="171" fontId="0" fillId="27" borderId="13" xfId="0" applyNumberFormat="1" applyFill="1" applyBorder="1" applyAlignment="1">
      <alignment horizontal="centerContinuous" vertical="center" wrapText="1"/>
    </xf>
    <xf numFmtId="164" fontId="0" fillId="29" borderId="13" xfId="0" applyNumberFormat="1" applyFill="1" applyBorder="1" applyAlignment="1">
      <alignment horizontal="center" vertical="center"/>
    </xf>
    <xf numFmtId="0" fontId="29" fillId="0" borderId="0" xfId="0" applyFont="1" applyAlignment="1">
      <alignment horizontal="justify"/>
    </xf>
    <xf numFmtId="180" fontId="0" fillId="27" borderId="13" xfId="0" applyNumberFormat="1" applyFill="1" applyBorder="1" applyAlignment="1">
      <alignment horizontal="center" vertical="center"/>
    </xf>
    <xf numFmtId="180" fontId="0" fillId="27" borderId="17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4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5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28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8" fillId="0" borderId="20" xfId="0" applyFont="1" applyBorder="1" applyAlignment="1" applyProtection="1">
      <alignment horizontal="center" vertical="center" wrapText="1"/>
      <protection hidden="1"/>
    </xf>
    <xf numFmtId="164" fontId="28" fillId="0" borderId="20" xfId="0" applyNumberFormat="1" applyFont="1" applyBorder="1" applyAlignment="1" applyProtection="1">
      <alignment horizontal="center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183" fontId="0" fillId="0" borderId="13" xfId="0" applyNumberForma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73" fontId="0" fillId="0" borderId="0" xfId="0" applyNumberFormat="1" applyBorder="1"/>
    <xf numFmtId="42" fontId="37" fillId="0" borderId="0" xfId="0" applyNumberFormat="1" applyFont="1" applyAlignment="1">
      <alignment horizontal="center" vertical="center" wrapText="1"/>
    </xf>
    <xf numFmtId="2" fontId="0" fillId="0" borderId="0" xfId="0" applyNumberFormat="1"/>
    <xf numFmtId="186" fontId="0" fillId="0" borderId="0" xfId="0" applyNumberFormat="1"/>
    <xf numFmtId="4" fontId="0" fillId="0" borderId="0" xfId="0" applyNumberFormat="1"/>
    <xf numFmtId="42" fontId="37" fillId="0" borderId="20" xfId="0" applyNumberFormat="1" applyFont="1" applyBorder="1" applyAlignment="1">
      <alignment horizontal="center" vertical="center" wrapText="1"/>
    </xf>
    <xf numFmtId="172" fontId="0" fillId="0" borderId="0" xfId="0" applyNumberFormat="1" applyBorder="1"/>
    <xf numFmtId="2" fontId="0" fillId="0" borderId="0" xfId="0" applyNumberFormat="1" applyAlignment="1">
      <alignment horizontal="center" vertical="center"/>
    </xf>
    <xf numFmtId="0" fontId="37" fillId="0" borderId="0" xfId="0" applyFont="1" applyAlignment="1">
      <alignment horizontal="center" vertical="center"/>
    </xf>
    <xf numFmtId="1" fontId="0" fillId="0" borderId="0" xfId="0" applyNumberFormat="1"/>
    <xf numFmtId="1" fontId="37" fillId="0" borderId="0" xfId="0" applyNumberFormat="1" applyFont="1" applyAlignment="1">
      <alignment horizontal="center" vertical="center" wrapText="1"/>
    </xf>
    <xf numFmtId="1" fontId="37" fillId="0" borderId="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9" xfId="443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 vertical="center" wrapText="1"/>
    </xf>
    <xf numFmtId="9" fontId="0" fillId="0" borderId="0" xfId="0" applyNumberFormat="1"/>
    <xf numFmtId="179" fontId="30" fillId="30" borderId="1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1" fillId="0" borderId="0" xfId="443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/>
    <xf numFmtId="1" fontId="37" fillId="0" borderId="0" xfId="0" applyNumberFormat="1" applyFont="1" applyFill="1" applyAlignment="1">
      <alignment horizontal="center" vertical="center" wrapText="1"/>
    </xf>
    <xf numFmtId="188" fontId="42" fillId="0" borderId="0" xfId="0" applyNumberFormat="1" applyFont="1"/>
    <xf numFmtId="188" fontId="42" fillId="0" borderId="25" xfId="0" applyNumberFormat="1" applyFont="1" applyBorder="1"/>
    <xf numFmtId="188" fontId="42" fillId="0" borderId="26" xfId="0" applyNumberFormat="1" applyFont="1" applyBorder="1"/>
    <xf numFmtId="188" fontId="42" fillId="0" borderId="27" xfId="0" applyNumberFormat="1" applyFont="1" applyBorder="1"/>
    <xf numFmtId="188" fontId="42" fillId="0" borderId="28" xfId="0" applyNumberFormat="1" applyFont="1" applyBorder="1"/>
    <xf numFmtId="188" fontId="41" fillId="0" borderId="28" xfId="0" applyNumberFormat="1" applyFont="1" applyBorder="1"/>
    <xf numFmtId="1" fontId="41" fillId="0" borderId="28" xfId="0" applyNumberFormat="1" applyFont="1" applyBorder="1"/>
    <xf numFmtId="188" fontId="42" fillId="0" borderId="29" xfId="0" applyNumberFormat="1" applyFont="1" applyBorder="1"/>
    <xf numFmtId="188" fontId="41" fillId="0" borderId="30" xfId="0" applyNumberFormat="1" applyFont="1" applyBorder="1"/>
    <xf numFmtId="168" fontId="41" fillId="0" borderId="29" xfId="0" applyNumberFormat="1" applyFont="1" applyBorder="1"/>
    <xf numFmtId="189" fontId="48" fillId="0" borderId="31" xfId="0" applyNumberFormat="1" applyFont="1" applyBorder="1"/>
    <xf numFmtId="168" fontId="41" fillId="0" borderId="0" xfId="0" applyNumberFormat="1" applyFont="1"/>
    <xf numFmtId="188" fontId="42" fillId="0" borderId="0" xfId="0" applyNumberFormat="1" applyFont="1" applyAlignment="1">
      <alignment horizontal="center"/>
    </xf>
    <xf numFmtId="188" fontId="42" fillId="0" borderId="32" xfId="0" applyNumberFormat="1" applyFont="1" applyBorder="1"/>
    <xf numFmtId="188" fontId="42" fillId="0" borderId="33" xfId="0" applyNumberFormat="1" applyFont="1" applyBorder="1"/>
    <xf numFmtId="188" fontId="42" fillId="0" borderId="34" xfId="0" applyNumberFormat="1" applyFont="1" applyBorder="1"/>
    <xf numFmtId="1" fontId="47" fillId="0" borderId="35" xfId="0" applyNumberFormat="1" applyFont="1" applyBorder="1" applyAlignment="1">
      <alignment horizontal="center"/>
    </xf>
    <xf numFmtId="188" fontId="49" fillId="0" borderId="29" xfId="0" applyNumberFormat="1" applyFont="1" applyBorder="1"/>
    <xf numFmtId="1" fontId="42" fillId="0" borderId="30" xfId="0" applyNumberFormat="1" applyFont="1" applyBorder="1"/>
    <xf numFmtId="188" fontId="42" fillId="0" borderId="36" xfId="0" applyNumberFormat="1" applyFont="1" applyBorder="1"/>
    <xf numFmtId="1" fontId="42" fillId="0" borderId="37" xfId="0" applyNumberFormat="1" applyFont="1" applyBorder="1"/>
    <xf numFmtId="1" fontId="42" fillId="0" borderId="38" xfId="0" applyNumberFormat="1" applyFont="1" applyBorder="1"/>
    <xf numFmtId="1" fontId="42" fillId="0" borderId="39" xfId="0" applyNumberFormat="1" applyFont="1" applyBorder="1"/>
    <xf numFmtId="188" fontId="42" fillId="0" borderId="40" xfId="0" applyNumberFormat="1" applyFont="1" applyBorder="1"/>
    <xf numFmtId="188" fontId="42" fillId="0" borderId="41" xfId="0" applyNumberFormat="1" applyFont="1" applyBorder="1" applyAlignment="1">
      <alignment wrapText="1"/>
    </xf>
    <xf numFmtId="1" fontId="42" fillId="0" borderId="44" xfId="0" applyNumberFormat="1" applyFont="1" applyBorder="1"/>
    <xf numFmtId="1" fontId="42" fillId="0" borderId="0" xfId="0" applyNumberFormat="1" applyFont="1"/>
    <xf numFmtId="1" fontId="42" fillId="0" borderId="36" xfId="0" applyNumberFormat="1" applyFont="1" applyBorder="1"/>
    <xf numFmtId="1" fontId="42" fillId="0" borderId="48" xfId="0" applyNumberFormat="1" applyFont="1" applyBorder="1"/>
    <xf numFmtId="1" fontId="42" fillId="0" borderId="34" xfId="0" applyNumberFormat="1" applyFont="1" applyBorder="1"/>
    <xf numFmtId="1" fontId="42" fillId="0" borderId="49" xfId="0" applyNumberFormat="1" applyFont="1" applyBorder="1"/>
    <xf numFmtId="188" fontId="42" fillId="0" borderId="50" xfId="0" applyNumberFormat="1" applyFont="1" applyBorder="1" applyAlignment="1">
      <alignment wrapText="1"/>
    </xf>
    <xf numFmtId="188" fontId="42" fillId="0" borderId="51" xfId="0" applyNumberFormat="1" applyFont="1" applyBorder="1" applyAlignment="1">
      <alignment wrapText="1"/>
    </xf>
    <xf numFmtId="188" fontId="42" fillId="0" borderId="52" xfId="0" applyNumberFormat="1" applyFont="1" applyBorder="1" applyAlignment="1">
      <alignment wrapText="1"/>
    </xf>
    <xf numFmtId="188" fontId="49" fillId="0" borderId="0" xfId="0" applyNumberFormat="1" applyFont="1"/>
    <xf numFmtId="1" fontId="42" fillId="0" borderId="32" xfId="0" applyNumberFormat="1" applyFont="1" applyBorder="1"/>
    <xf numFmtId="1" fontId="41" fillId="0" borderId="53" xfId="0" applyNumberFormat="1" applyFont="1" applyBorder="1"/>
    <xf numFmtId="188" fontId="42" fillId="0" borderId="54" xfId="0" applyNumberFormat="1" applyFont="1" applyBorder="1"/>
    <xf numFmtId="188" fontId="42" fillId="0" borderId="55" xfId="0" applyNumberFormat="1" applyFont="1" applyBorder="1"/>
    <xf numFmtId="188" fontId="42" fillId="0" borderId="56" xfId="0" applyNumberFormat="1" applyFont="1" applyBorder="1"/>
    <xf numFmtId="188" fontId="42" fillId="0" borderId="57" xfId="0" applyNumberFormat="1" applyFont="1" applyBorder="1"/>
    <xf numFmtId="1" fontId="42" fillId="0" borderId="31" xfId="0" applyNumberFormat="1" applyFont="1" applyBorder="1"/>
    <xf numFmtId="188" fontId="42" fillId="0" borderId="30" xfId="0" applyNumberFormat="1" applyFont="1" applyBorder="1"/>
    <xf numFmtId="2" fontId="42" fillId="0" borderId="37" xfId="0" applyNumberFormat="1" applyFont="1" applyBorder="1"/>
    <xf numFmtId="2" fontId="42" fillId="0" borderId="38" xfId="0" applyNumberFormat="1" applyFont="1" applyBorder="1"/>
    <xf numFmtId="2" fontId="42" fillId="0" borderId="39" xfId="0" applyNumberFormat="1" applyFont="1" applyBorder="1"/>
    <xf numFmtId="2" fontId="41" fillId="0" borderId="44" xfId="0" applyNumberFormat="1" applyFont="1" applyBorder="1"/>
    <xf numFmtId="188" fontId="42" fillId="0" borderId="42" xfId="0" applyNumberFormat="1" applyFont="1" applyBorder="1"/>
    <xf numFmtId="188" fontId="42" fillId="0" borderId="58" xfId="0" applyNumberFormat="1" applyFont="1" applyBorder="1"/>
    <xf numFmtId="188" fontId="42" fillId="0" borderId="59" xfId="0" applyNumberFormat="1" applyFont="1" applyBorder="1"/>
    <xf numFmtId="2" fontId="42" fillId="0" borderId="44" xfId="0" applyNumberFormat="1" applyFont="1" applyBorder="1"/>
    <xf numFmtId="2" fontId="42" fillId="0" borderId="0" xfId="0" applyNumberFormat="1" applyFont="1"/>
    <xf numFmtId="2" fontId="42" fillId="0" borderId="36" xfId="0" applyNumberFormat="1" applyFont="1" applyBorder="1"/>
    <xf numFmtId="188" fontId="47" fillId="0" borderId="0" xfId="0" applyNumberFormat="1" applyFont="1"/>
    <xf numFmtId="188" fontId="47" fillId="0" borderId="54" xfId="0" applyNumberFormat="1" applyFont="1" applyBorder="1"/>
    <xf numFmtId="188" fontId="42" fillId="0" borderId="60" xfId="0" applyNumberFormat="1" applyFont="1" applyBorder="1"/>
    <xf numFmtId="188" fontId="50" fillId="0" borderId="0" xfId="0" applyNumberFormat="1" applyFont="1"/>
    <xf numFmtId="2" fontId="42" fillId="0" borderId="48" xfId="0" applyNumberFormat="1" applyFont="1" applyBorder="1"/>
    <xf numFmtId="2" fontId="42" fillId="0" borderId="34" xfId="0" applyNumberFormat="1" applyFont="1" applyBorder="1"/>
    <xf numFmtId="2" fontId="42" fillId="0" borderId="49" xfId="0" applyNumberFormat="1" applyFont="1" applyBorder="1"/>
    <xf numFmtId="2" fontId="41" fillId="0" borderId="0" xfId="0" applyNumberFormat="1" applyFont="1"/>
    <xf numFmtId="2" fontId="42" fillId="0" borderId="19" xfId="0" applyNumberFormat="1" applyFont="1" applyBorder="1"/>
    <xf numFmtId="2" fontId="42" fillId="0" borderId="53" xfId="0" applyNumberFormat="1" applyFont="1" applyBorder="1"/>
    <xf numFmtId="2" fontId="42" fillId="0" borderId="18" xfId="0" applyNumberFormat="1" applyFont="1" applyBorder="1"/>
    <xf numFmtId="188" fontId="42" fillId="0" borderId="61" xfId="0" applyNumberFormat="1" applyFont="1" applyBorder="1"/>
    <xf numFmtId="188" fontId="42" fillId="0" borderId="38" xfId="0" applyNumberFormat="1" applyFont="1" applyBorder="1"/>
    <xf numFmtId="188" fontId="42" fillId="0" borderId="53" xfId="0" applyNumberFormat="1" applyFont="1" applyBorder="1"/>
    <xf numFmtId="2" fontId="42" fillId="0" borderId="29" xfId="0" applyNumberFormat="1" applyFont="1" applyBorder="1"/>
    <xf numFmtId="188" fontId="50" fillId="0" borderId="30" xfId="0" applyNumberFormat="1" applyFont="1" applyBorder="1" applyAlignment="1">
      <alignment horizontal="right"/>
    </xf>
    <xf numFmtId="188" fontId="42" fillId="0" borderId="44" xfId="0" applyNumberFormat="1" applyFont="1" applyBorder="1"/>
    <xf numFmtId="181" fontId="42" fillId="0" borderId="0" xfId="0" applyNumberFormat="1" applyFont="1"/>
    <xf numFmtId="188" fontId="42" fillId="0" borderId="26" xfId="0" applyNumberFormat="1" applyFont="1" applyBorder="1"/>
    <xf numFmtId="188" fontId="42" fillId="29" borderId="62" xfId="0" applyNumberFormat="1" applyFont="1" applyFill="1" applyBorder="1"/>
    <xf numFmtId="188" fontId="42" fillId="0" borderId="0" xfId="0" applyNumberFormat="1" applyFont="1" applyBorder="1"/>
    <xf numFmtId="188" fontId="42" fillId="0" borderId="0" xfId="0" applyNumberFormat="1" applyFont="1" applyBorder="1"/>
    <xf numFmtId="1" fontId="42" fillId="26" borderId="63" xfId="0" applyNumberFormat="1" applyFont="1" applyFill="1" applyBorder="1"/>
    <xf numFmtId="1" fontId="42" fillId="26" borderId="30" xfId="0" applyNumberFormat="1" applyFont="1" applyFill="1" applyBorder="1"/>
    <xf numFmtId="1" fontId="42" fillId="26" borderId="64" xfId="0" applyNumberFormat="1" applyFont="1" applyFill="1" applyBorder="1"/>
    <xf numFmtId="164" fontId="42" fillId="26" borderId="65" xfId="0" applyNumberFormat="1" applyFont="1" applyFill="1" applyBorder="1"/>
    <xf numFmtId="10" fontId="0" fillId="0" borderId="0" xfId="0" applyNumberFormat="1" applyAlignment="1">
      <alignment horizontal="center" vertical="center"/>
    </xf>
    <xf numFmtId="183" fontId="0" fillId="0" borderId="18" xfId="0" applyNumberFormat="1" applyFill="1" applyBorder="1" applyAlignment="1">
      <alignment horizontal="center" vertical="center" wrapText="1"/>
    </xf>
    <xf numFmtId="1" fontId="42" fillId="26" borderId="66" xfId="0" applyNumberFormat="1" applyFont="1" applyFill="1" applyBorder="1"/>
    <xf numFmtId="1" fontId="42" fillId="26" borderId="67" xfId="0" applyNumberFormat="1" applyFont="1" applyFill="1" applyBorder="1"/>
    <xf numFmtId="1" fontId="42" fillId="26" borderId="68" xfId="0" applyNumberFormat="1" applyFont="1" applyFill="1" applyBorder="1"/>
    <xf numFmtId="188" fontId="42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189" fontId="48" fillId="26" borderId="65" xfId="0" applyNumberFormat="1" applyFont="1" applyFill="1" applyBorder="1"/>
    <xf numFmtId="188" fontId="39" fillId="28" borderId="69" xfId="0" applyNumberFormat="1" applyFont="1" applyFill="1" applyBorder="1"/>
    <xf numFmtId="188" fontId="41" fillId="28" borderId="70" xfId="0" applyNumberFormat="1" applyFont="1" applyFill="1" applyBorder="1" applyAlignment="1">
      <alignment horizontal="right"/>
    </xf>
    <xf numFmtId="188" fontId="41" fillId="28" borderId="72" xfId="0" applyNumberFormat="1" applyFont="1" applyFill="1" applyBorder="1" applyAlignment="1">
      <alignment horizontal="right"/>
    </xf>
    <xf numFmtId="188" fontId="39" fillId="28" borderId="74" xfId="0" applyNumberFormat="1" applyFont="1" applyFill="1" applyBorder="1"/>
    <xf numFmtId="188" fontId="41" fillId="28" borderId="71" xfId="0" applyNumberFormat="1" applyFont="1" applyFill="1" applyBorder="1" applyAlignment="1">
      <alignment horizontal="right"/>
    </xf>
    <xf numFmtId="186" fontId="55" fillId="31" borderId="76" xfId="0" applyNumberFormat="1" applyFont="1" applyFill="1" applyBorder="1" applyAlignment="1">
      <alignment horizontal="center" vertical="center"/>
    </xf>
    <xf numFmtId="186" fontId="55" fillId="31" borderId="77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/>
    </xf>
    <xf numFmtId="0" fontId="0" fillId="0" borderId="79" xfId="0" applyBorder="1"/>
    <xf numFmtId="0" fontId="1" fillId="0" borderId="80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79" xfId="0" applyFont="1" applyBorder="1" applyAlignment="1">
      <alignment horizontal="center" vertical="center" wrapText="1"/>
    </xf>
    <xf numFmtId="172" fontId="0" fillId="0" borderId="0" xfId="0" applyNumberFormat="1" applyFill="1" applyBorder="1" applyAlignment="1">
      <alignment horizontal="center" vertical="center"/>
    </xf>
    <xf numFmtId="177" fontId="0" fillId="27" borderId="0" xfId="0" applyNumberFormat="1" applyFill="1" applyBorder="1" applyAlignment="1">
      <alignment horizontal="center" vertical="center"/>
    </xf>
    <xf numFmtId="172" fontId="0" fillId="0" borderId="0" xfId="0" applyNumberFormat="1"/>
    <xf numFmtId="2" fontId="0" fillId="0" borderId="44" xfId="0" applyNumberForma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72" fontId="37" fillId="33" borderId="0" xfId="0" applyNumberFormat="1" applyFont="1" applyFill="1" applyAlignment="1">
      <alignment horizontal="center" vertical="center" wrapText="1"/>
    </xf>
    <xf numFmtId="0" fontId="67" fillId="26" borderId="0" xfId="0" applyFont="1" applyFill="1" applyAlignment="1">
      <alignment horizontal="center" vertical="center"/>
    </xf>
    <xf numFmtId="186" fontId="0" fillId="0" borderId="18" xfId="0" applyNumberFormat="1" applyBorder="1"/>
    <xf numFmtId="1" fontId="0" fillId="0" borderId="0" xfId="0" applyNumberFormat="1" applyAlignment="1">
      <alignment horizontal="center" vertical="center"/>
    </xf>
    <xf numFmtId="1" fontId="0" fillId="0" borderId="20" xfId="0" applyNumberFormat="1" applyBorder="1" applyAlignment="1">
      <alignment horizontal="center" vertical="center" wrapText="1"/>
    </xf>
    <xf numFmtId="186" fontId="0" fillId="0" borderId="0" xfId="0" applyNumberFormat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34" borderId="89" xfId="0" applyFill="1" applyBorder="1" applyAlignment="1">
      <alignment horizontal="center" vertical="center" wrapText="1"/>
    </xf>
    <xf numFmtId="0" fontId="0" fillId="34" borderId="90" xfId="0" applyFill="1" applyBorder="1" applyAlignment="1">
      <alignment horizontal="center" vertical="center" wrapText="1"/>
    </xf>
    <xf numFmtId="0" fontId="0" fillId="34" borderId="91" xfId="0" applyFill="1" applyBorder="1" applyAlignment="1">
      <alignment horizontal="center" vertical="center" wrapText="1"/>
    </xf>
    <xf numFmtId="17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>
      <alignment horizontal="center" vertical="center"/>
    </xf>
    <xf numFmtId="0" fontId="0" fillId="3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34" borderId="0" xfId="0" applyNumberFormat="1" applyFill="1" applyAlignment="1">
      <alignment horizontal="center" vertical="center"/>
    </xf>
    <xf numFmtId="190" fontId="0" fillId="0" borderId="0" xfId="0" applyNumberFormat="1" applyAlignment="1">
      <alignment horizontal="center" vertical="center"/>
    </xf>
    <xf numFmtId="188" fontId="42" fillId="0" borderId="25" xfId="0" applyNumberFormat="1" applyFont="1" applyBorder="1" applyAlignment="1">
      <alignment horizontal="center" vertical="center"/>
    </xf>
    <xf numFmtId="188" fontId="42" fillId="0" borderId="26" xfId="0" applyNumberFormat="1" applyFont="1" applyBorder="1" applyAlignment="1">
      <alignment horizontal="center" vertical="center"/>
    </xf>
    <xf numFmtId="188" fontId="42" fillId="0" borderId="27" xfId="0" applyNumberFormat="1" applyFont="1" applyBorder="1" applyAlignment="1">
      <alignment horizontal="center" vertical="center"/>
    </xf>
    <xf numFmtId="188" fontId="41" fillId="0" borderId="28" xfId="0" applyNumberFormat="1" applyFont="1" applyBorder="1" applyAlignment="1">
      <alignment horizontal="center" vertical="center"/>
    </xf>
    <xf numFmtId="1" fontId="41" fillId="0" borderId="28" xfId="0" applyNumberFormat="1" applyFont="1" applyBorder="1" applyAlignment="1">
      <alignment horizontal="center" vertical="center"/>
    </xf>
    <xf numFmtId="188" fontId="42" fillId="0" borderId="28" xfId="0" applyNumberFormat="1" applyFont="1" applyBorder="1" applyAlignment="1">
      <alignment horizontal="center" vertical="center"/>
    </xf>
    <xf numFmtId="188" fontId="41" fillId="0" borderId="30" xfId="0" applyNumberFormat="1" applyFont="1" applyBorder="1" applyAlignment="1">
      <alignment horizontal="center" vertical="center"/>
    </xf>
    <xf numFmtId="168" fontId="41" fillId="0" borderId="29" xfId="0" applyNumberFormat="1" applyFont="1" applyBorder="1" applyAlignment="1">
      <alignment horizontal="center" vertical="center"/>
    </xf>
    <xf numFmtId="189" fontId="48" fillId="0" borderId="31" xfId="0" applyNumberFormat="1" applyFont="1" applyBorder="1" applyAlignment="1">
      <alignment horizontal="center" vertical="center"/>
    </xf>
    <xf numFmtId="168" fontId="4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42" fillId="0" borderId="33" xfId="0" applyNumberFormat="1" applyFont="1" applyBorder="1" applyAlignment="1">
      <alignment horizontal="center" vertical="center"/>
    </xf>
    <xf numFmtId="188" fontId="42" fillId="0" borderId="34" xfId="0" applyNumberFormat="1" applyFont="1" applyBorder="1" applyAlignment="1">
      <alignment horizontal="center" vertical="center"/>
    </xf>
    <xf numFmtId="1" fontId="47" fillId="0" borderId="35" xfId="0" applyNumberFormat="1" applyFont="1" applyBorder="1" applyAlignment="1">
      <alignment horizontal="center" vertical="center"/>
    </xf>
    <xf numFmtId="1" fontId="42" fillId="0" borderId="30" xfId="0" applyNumberFormat="1" applyFont="1" applyBorder="1" applyAlignment="1">
      <alignment horizontal="center" vertical="center"/>
    </xf>
    <xf numFmtId="188" fontId="42" fillId="0" borderId="36" xfId="0" applyNumberFormat="1" applyFont="1" applyBorder="1" applyAlignment="1">
      <alignment horizontal="center" vertical="center"/>
    </xf>
    <xf numFmtId="1" fontId="42" fillId="0" borderId="37" xfId="0" applyNumberFormat="1" applyFont="1" applyBorder="1" applyAlignment="1">
      <alignment horizontal="center" vertical="center"/>
    </xf>
    <xf numFmtId="188" fontId="42" fillId="0" borderId="40" xfId="0" applyNumberFormat="1" applyFont="1" applyBorder="1" applyAlignment="1">
      <alignment horizontal="center" vertical="center"/>
    </xf>
    <xf numFmtId="188" fontId="42" fillId="0" borderId="41" xfId="0" applyNumberFormat="1" applyFont="1" applyBorder="1" applyAlignment="1">
      <alignment horizontal="center" vertical="center" wrapText="1"/>
    </xf>
    <xf numFmtId="188" fontId="42" fillId="0" borderId="42" xfId="0" applyNumberFormat="1" applyFont="1" applyBorder="1" applyAlignment="1">
      <alignment horizontal="center" vertical="center" wrapText="1"/>
    </xf>
    <xf numFmtId="188" fontId="42" fillId="0" borderId="43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84" fontId="1" fillId="0" borderId="0" xfId="0" applyNumberFormat="1" applyFont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" fontId="42" fillId="0" borderId="44" xfId="0" applyNumberFormat="1" applyFont="1" applyBorder="1" applyAlignment="1">
      <alignment horizontal="center" vertical="center"/>
    </xf>
    <xf numFmtId="188" fontId="42" fillId="0" borderId="45" xfId="0" applyNumberFormat="1" applyFont="1" applyBorder="1" applyAlignment="1">
      <alignment horizontal="center" vertical="center" wrapText="1"/>
    </xf>
    <xf numFmtId="188" fontId="42" fillId="0" borderId="46" xfId="0" applyNumberFormat="1" applyFont="1" applyBorder="1" applyAlignment="1">
      <alignment horizontal="center" vertical="center" wrapText="1"/>
    </xf>
    <xf numFmtId="188" fontId="42" fillId="0" borderId="47" xfId="0" applyNumberFormat="1" applyFont="1" applyBorder="1" applyAlignment="1">
      <alignment horizontal="center" vertical="center" wrapText="1"/>
    </xf>
    <xf numFmtId="188" fontId="42" fillId="0" borderId="50" xfId="0" applyNumberFormat="1" applyFont="1" applyBorder="1" applyAlignment="1">
      <alignment horizontal="center" vertical="center" wrapText="1"/>
    </xf>
    <xf numFmtId="188" fontId="42" fillId="0" borderId="51" xfId="0" applyNumberFormat="1" applyFont="1" applyBorder="1" applyAlignment="1">
      <alignment horizontal="center" vertical="center" wrapText="1"/>
    </xf>
    <xf numFmtId="188" fontId="42" fillId="0" borderId="52" xfId="0" applyNumberFormat="1" applyFont="1" applyBorder="1" applyAlignment="1">
      <alignment horizontal="center" vertical="center" wrapText="1"/>
    </xf>
    <xf numFmtId="1" fontId="42" fillId="0" borderId="32" xfId="0" applyNumberFormat="1" applyFont="1" applyBorder="1" applyAlignment="1">
      <alignment horizontal="center" vertical="center"/>
    </xf>
    <xf numFmtId="1" fontId="41" fillId="0" borderId="53" xfId="0" applyNumberFormat="1" applyFont="1" applyBorder="1" applyAlignment="1">
      <alignment horizontal="center" vertical="center"/>
    </xf>
    <xf numFmtId="188" fontId="42" fillId="0" borderId="54" xfId="0" applyNumberFormat="1" applyFont="1" applyBorder="1" applyAlignment="1">
      <alignment horizontal="center" vertical="center"/>
    </xf>
    <xf numFmtId="188" fontId="42" fillId="0" borderId="55" xfId="0" applyNumberFormat="1" applyFont="1" applyBorder="1" applyAlignment="1">
      <alignment horizontal="center" vertical="center"/>
    </xf>
    <xf numFmtId="188" fontId="42" fillId="0" borderId="56" xfId="0" applyNumberFormat="1" applyFont="1" applyBorder="1" applyAlignment="1">
      <alignment horizontal="center" vertical="center"/>
    </xf>
    <xf numFmtId="188" fontId="42" fillId="0" borderId="57" xfId="0" applyNumberFormat="1" applyFont="1" applyBorder="1" applyAlignment="1">
      <alignment horizontal="center" vertical="center"/>
    </xf>
    <xf numFmtId="188" fontId="42" fillId="0" borderId="30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/>
    </xf>
    <xf numFmtId="2" fontId="42" fillId="0" borderId="38" xfId="0" applyNumberFormat="1" applyFont="1" applyBorder="1" applyAlignment="1">
      <alignment horizontal="center" vertical="center"/>
    </xf>
    <xf numFmtId="2" fontId="42" fillId="0" borderId="39" xfId="0" applyNumberFormat="1" applyFont="1" applyBorder="1" applyAlignment="1">
      <alignment horizontal="center" vertical="center"/>
    </xf>
    <xf numFmtId="2" fontId="41" fillId="0" borderId="44" xfId="0" applyNumberFormat="1" applyFont="1" applyBorder="1" applyAlignment="1">
      <alignment horizontal="center" vertical="center"/>
    </xf>
    <xf numFmtId="188" fontId="42" fillId="0" borderId="42" xfId="0" applyNumberFormat="1" applyFont="1" applyBorder="1" applyAlignment="1">
      <alignment horizontal="center" vertical="center"/>
    </xf>
    <xf numFmtId="188" fontId="42" fillId="0" borderId="58" xfId="0" applyNumberFormat="1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hidden="1"/>
    </xf>
    <xf numFmtId="164" fontId="1" fillId="0" borderId="16" xfId="0" applyNumberFormat="1" applyFont="1" applyFill="1" applyBorder="1" applyAlignment="1" applyProtection="1">
      <alignment horizontal="center" vertical="center"/>
      <protection hidden="1"/>
    </xf>
    <xf numFmtId="181" fontId="0" fillId="0" borderId="0" xfId="0" applyNumberFormat="1" applyAlignment="1">
      <alignment horizontal="center" vertical="center"/>
    </xf>
    <xf numFmtId="188" fontId="42" fillId="0" borderId="59" xfId="0" applyNumberFormat="1" applyFont="1" applyBorder="1" applyAlignment="1">
      <alignment horizontal="center" vertical="center"/>
    </xf>
    <xf numFmtId="2" fontId="42" fillId="0" borderId="44" xfId="0" applyNumberFormat="1" applyFont="1" applyBorder="1" applyAlignment="1">
      <alignment horizontal="center" vertical="center"/>
    </xf>
    <xf numFmtId="2" fontId="42" fillId="0" borderId="0" xfId="0" applyNumberFormat="1" applyFont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  <xf numFmtId="188" fontId="47" fillId="0" borderId="0" xfId="0" applyNumberFormat="1" applyFont="1" applyAlignment="1">
      <alignment horizontal="center" vertical="center"/>
    </xf>
    <xf numFmtId="188" fontId="47" fillId="0" borderId="54" xfId="0" applyNumberFormat="1" applyFont="1" applyBorder="1" applyAlignment="1">
      <alignment horizontal="center" vertical="center"/>
    </xf>
    <xf numFmtId="188" fontId="42" fillId="0" borderId="60" xfId="0" applyNumberFormat="1" applyFont="1" applyBorder="1" applyAlignment="1">
      <alignment horizontal="center" vertical="center"/>
    </xf>
    <xf numFmtId="188" fontId="50" fillId="0" borderId="0" xfId="0" applyNumberFormat="1" applyFont="1" applyAlignment="1">
      <alignment horizontal="center" vertical="center"/>
    </xf>
    <xf numFmtId="2" fontId="42" fillId="0" borderId="48" xfId="0" applyNumberFormat="1" applyFont="1" applyBorder="1" applyAlignment="1">
      <alignment horizontal="center" vertical="center"/>
    </xf>
    <xf numFmtId="2" fontId="42" fillId="0" borderId="34" xfId="0" applyNumberFormat="1" applyFont="1" applyBorder="1" applyAlignment="1">
      <alignment horizontal="center" vertical="center"/>
    </xf>
    <xf numFmtId="2" fontId="42" fillId="0" borderId="49" xfId="0" applyNumberFormat="1" applyFont="1" applyBorder="1" applyAlignment="1">
      <alignment horizontal="center" vertical="center"/>
    </xf>
    <xf numFmtId="1" fontId="42" fillId="0" borderId="36" xfId="0" applyNumberFormat="1" applyFont="1" applyBorder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2" fontId="42" fillId="0" borderId="19" xfId="0" applyNumberFormat="1" applyFont="1" applyBorder="1" applyAlignment="1">
      <alignment horizontal="center" vertical="center"/>
    </xf>
    <xf numFmtId="2" fontId="42" fillId="0" borderId="53" xfId="0" applyNumberFormat="1" applyFont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1" fontId="42" fillId="0" borderId="34" xfId="0" applyNumberFormat="1" applyFont="1" applyBorder="1" applyAlignment="1">
      <alignment horizontal="center" vertical="center"/>
    </xf>
    <xf numFmtId="188" fontId="41" fillId="0" borderId="0" xfId="0" applyNumberFormat="1" applyFont="1" applyBorder="1" applyAlignment="1">
      <alignment horizontal="center" vertical="center"/>
    </xf>
    <xf numFmtId="188" fontId="42" fillId="0" borderId="61" xfId="0" applyNumberFormat="1" applyFont="1" applyBorder="1" applyAlignment="1">
      <alignment horizontal="center" vertical="center"/>
    </xf>
    <xf numFmtId="188" fontId="42" fillId="0" borderId="38" xfId="0" applyNumberFormat="1" applyFont="1" applyBorder="1" applyAlignment="1">
      <alignment horizontal="center" vertical="center"/>
    </xf>
    <xf numFmtId="188" fontId="42" fillId="0" borderId="53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88" fontId="50" fillId="0" borderId="30" xfId="0" applyNumberFormat="1" applyFont="1" applyBorder="1" applyAlignment="1">
      <alignment horizontal="center" vertical="center"/>
    </xf>
    <xf numFmtId="188" fontId="42" fillId="0" borderId="44" xfId="0" applyNumberFormat="1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8" fontId="42" fillId="29" borderId="6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8" fontId="42" fillId="0" borderId="28" xfId="0" applyNumberFormat="1" applyFont="1" applyBorder="1" applyAlignment="1">
      <alignment horizontal="center" vertical="center"/>
    </xf>
    <xf numFmtId="188" fontId="42" fillId="0" borderId="28" xfId="0" applyNumberFormat="1" applyFont="1" applyBorder="1" applyAlignment="1">
      <alignment horizontal="center" vertical="center"/>
    </xf>
    <xf numFmtId="188" fontId="42" fillId="0" borderId="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91" fontId="1" fillId="0" borderId="0" xfId="0" applyNumberFormat="1" applyFont="1" applyFill="1" applyBorder="1" applyAlignment="1">
      <alignment horizontal="center" vertical="center"/>
    </xf>
    <xf numFmtId="188" fontId="42" fillId="0" borderId="0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Alignment="1">
      <alignment horizontal="center" vertical="center"/>
    </xf>
    <xf numFmtId="1" fontId="0" fillId="34" borderId="0" xfId="0" applyNumberFormat="1" applyFill="1" applyAlignment="1">
      <alignment horizontal="center" vertical="center"/>
    </xf>
    <xf numFmtId="186" fontId="0" fillId="34" borderId="0" xfId="0" applyNumberFormat="1" applyFill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186" fontId="0" fillId="0" borderId="0" xfId="0" applyNumberFormat="1" applyFill="1" applyBorder="1" applyAlignment="1">
      <alignment horizontal="center" vertical="center"/>
    </xf>
    <xf numFmtId="170" fontId="0" fillId="34" borderId="0" xfId="0" applyNumberForma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186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86" fontId="0" fillId="0" borderId="0" xfId="0" applyNumberFormat="1" applyBorder="1" applyAlignment="1">
      <alignment horizontal="center" vertical="center" wrapText="1"/>
    </xf>
    <xf numFmtId="170" fontId="0" fillId="0" borderId="0" xfId="0" applyNumberFormat="1" applyBorder="1" applyAlignment="1">
      <alignment horizontal="center" vertical="center" wrapText="1"/>
    </xf>
    <xf numFmtId="188" fontId="42" fillId="0" borderId="26" xfId="0" applyNumberFormat="1" applyFont="1" applyFill="1" applyBorder="1" applyAlignment="1">
      <alignment horizontal="center" vertical="center"/>
    </xf>
    <xf numFmtId="189" fontId="57" fillId="0" borderId="65" xfId="0" applyNumberFormat="1" applyFont="1" applyFill="1" applyBorder="1" applyAlignment="1">
      <alignment horizontal="center" vertical="center"/>
    </xf>
    <xf numFmtId="189" fontId="48" fillId="0" borderId="65" xfId="0" applyNumberFormat="1" applyFont="1" applyFill="1" applyBorder="1" applyAlignment="1">
      <alignment horizontal="center" vertical="center"/>
    </xf>
    <xf numFmtId="188" fontId="42" fillId="0" borderId="32" xfId="0" applyNumberFormat="1" applyFont="1" applyFill="1" applyBorder="1" applyAlignment="1">
      <alignment horizontal="center" vertical="center"/>
    </xf>
    <xf numFmtId="1" fontId="42" fillId="0" borderId="63" xfId="0" applyNumberFormat="1" applyFont="1" applyFill="1" applyBorder="1" applyAlignment="1">
      <alignment horizontal="center" vertical="center"/>
    </xf>
    <xf numFmtId="1" fontId="42" fillId="0" borderId="92" xfId="0" applyNumberFormat="1" applyFont="1" applyFill="1" applyBorder="1" applyAlignment="1">
      <alignment horizontal="center" vertical="center"/>
    </xf>
    <xf numFmtId="1" fontId="42" fillId="0" borderId="30" xfId="0" applyNumberFormat="1" applyFont="1" applyFill="1" applyBorder="1" applyAlignment="1">
      <alignment horizontal="center" vertical="center"/>
    </xf>
    <xf numFmtId="1" fontId="42" fillId="0" borderId="29" xfId="0" applyNumberFormat="1" applyFont="1" applyFill="1" applyBorder="1" applyAlignment="1">
      <alignment horizontal="center" vertical="center"/>
    </xf>
    <xf numFmtId="1" fontId="42" fillId="0" borderId="64" xfId="0" applyNumberFormat="1" applyFont="1" applyFill="1" applyBorder="1" applyAlignment="1">
      <alignment horizontal="center" vertical="center"/>
    </xf>
    <xf numFmtId="1" fontId="42" fillId="0" borderId="93" xfId="0" applyNumberFormat="1" applyFont="1" applyFill="1" applyBorder="1" applyAlignment="1">
      <alignment horizontal="center" vertical="center"/>
    </xf>
    <xf numFmtId="1" fontId="42" fillId="0" borderId="32" xfId="0" applyNumberFormat="1" applyFont="1" applyFill="1" applyBorder="1" applyAlignment="1">
      <alignment horizontal="center" vertical="center"/>
    </xf>
    <xf numFmtId="1" fontId="42" fillId="0" borderId="31" xfId="0" applyNumberFormat="1" applyFont="1" applyFill="1" applyBorder="1" applyAlignment="1">
      <alignment horizontal="center" vertical="center"/>
    </xf>
    <xf numFmtId="164" fontId="42" fillId="0" borderId="65" xfId="0" applyNumberFormat="1" applyFont="1" applyFill="1" applyBorder="1" applyAlignment="1">
      <alignment horizontal="center" vertical="center"/>
    </xf>
    <xf numFmtId="188" fontId="42" fillId="0" borderId="59" xfId="0" applyNumberFormat="1" applyFont="1" applyFill="1" applyBorder="1" applyAlignment="1">
      <alignment horizontal="center" vertical="center"/>
    </xf>
    <xf numFmtId="188" fontId="50" fillId="0" borderId="0" xfId="0" applyNumberFormat="1" applyFont="1" applyFill="1" applyAlignment="1">
      <alignment horizontal="center" vertical="center"/>
    </xf>
    <xf numFmtId="2" fontId="42" fillId="0" borderId="0" xfId="0" applyNumberFormat="1" applyFont="1" applyFill="1" applyAlignment="1">
      <alignment horizontal="center" vertical="center"/>
    </xf>
    <xf numFmtId="2" fontId="42" fillId="0" borderId="29" xfId="0" applyNumberFormat="1" applyFont="1" applyFill="1" applyBorder="1" applyAlignment="1">
      <alignment horizontal="center" vertical="center"/>
    </xf>
    <xf numFmtId="188" fontId="42" fillId="0" borderId="28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6" xfId="0" applyBorder="1"/>
    <xf numFmtId="0" fontId="0" fillId="0" borderId="96" xfId="0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 wrapText="1"/>
    </xf>
    <xf numFmtId="42" fontId="0" fillId="0" borderId="2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72" fontId="0" fillId="0" borderId="20" xfId="0" applyNumberFormat="1" applyBorder="1" applyAlignment="1">
      <alignment horizontal="center" vertical="center" wrapText="1"/>
    </xf>
    <xf numFmtId="170" fontId="0" fillId="0" borderId="20" xfId="0" applyNumberFormat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1" fontId="0" fillId="0" borderId="98" xfId="0" applyNumberFormat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2" fontId="0" fillId="0" borderId="98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1" fontId="0" fillId="0" borderId="99" xfId="0" applyNumberFormat="1" applyBorder="1" applyAlignment="1">
      <alignment horizontal="center" vertical="center" wrapText="1"/>
    </xf>
    <xf numFmtId="1" fontId="0" fillId="35" borderId="20" xfId="0" applyNumberFormat="1" applyFill="1" applyBorder="1" applyAlignment="1">
      <alignment horizontal="center" vertical="center" wrapText="1"/>
    </xf>
    <xf numFmtId="0" fontId="0" fillId="35" borderId="20" xfId="0" applyFill="1" applyBorder="1" applyAlignment="1">
      <alignment horizontal="center" vertical="center" wrapText="1"/>
    </xf>
    <xf numFmtId="1" fontId="0" fillId="26" borderId="20" xfId="0" applyNumberFormat="1" applyFill="1" applyBorder="1" applyAlignment="1">
      <alignment horizontal="center" vertical="center" wrapText="1"/>
    </xf>
    <xf numFmtId="9" fontId="0" fillId="26" borderId="20" xfId="0" applyNumberFormat="1" applyFill="1" applyBorder="1" applyAlignment="1">
      <alignment horizontal="center" vertical="center" wrapText="1"/>
    </xf>
    <xf numFmtId="42" fontId="0" fillId="26" borderId="20" xfId="0" applyNumberFormat="1" applyFill="1" applyBorder="1" applyAlignment="1">
      <alignment horizontal="center" vertical="center" wrapText="1"/>
    </xf>
    <xf numFmtId="172" fontId="0" fillId="26" borderId="20" xfId="0" applyNumberFormat="1" applyFill="1" applyBorder="1" applyAlignment="1">
      <alignment horizontal="center" vertical="center" wrapText="1"/>
    </xf>
    <xf numFmtId="2" fontId="0" fillId="35" borderId="20" xfId="0" applyNumberFormat="1" applyFill="1" applyBorder="1" applyAlignment="1">
      <alignment horizontal="center" vertical="center" wrapText="1"/>
    </xf>
    <xf numFmtId="170" fontId="0" fillId="35" borderId="20" xfId="0" applyNumberFormat="1" applyFill="1" applyBorder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1" fontId="0" fillId="33" borderId="0" xfId="0" applyNumberFormat="1" applyFill="1" applyAlignment="1">
      <alignment horizontal="center" vertical="center" wrapText="1"/>
    </xf>
    <xf numFmtId="171" fontId="0" fillId="0" borderId="0" xfId="0" applyNumberFormat="1" applyAlignment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443" applyNumberFormat="1" applyFont="1" applyFill="1" applyBorder="1" applyAlignment="1" applyProtection="1">
      <alignment horizontal="center" vertical="center"/>
      <protection hidden="1"/>
    </xf>
    <xf numFmtId="3" fontId="22" fillId="0" borderId="0" xfId="443" applyNumberFormat="1" applyFont="1" applyFill="1" applyBorder="1" applyAlignment="1" applyProtection="1">
      <alignment horizontal="center" vertical="center"/>
      <protection hidden="1"/>
    </xf>
    <xf numFmtId="10" fontId="0" fillId="26" borderId="0" xfId="0" applyNumberFormat="1" applyFill="1" applyBorder="1" applyAlignment="1">
      <alignment horizontal="center" vertical="center"/>
    </xf>
    <xf numFmtId="10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04" xfId="0" applyBorder="1" applyAlignment="1">
      <alignment horizontal="center"/>
    </xf>
    <xf numFmtId="0" fontId="0" fillId="0" borderId="0" xfId="0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188" fontId="20" fillId="0" borderId="0" xfId="0" applyNumberFormat="1" applyFont="1"/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" fillId="28" borderId="0" xfId="0" applyFont="1" applyFill="1" applyAlignment="1">
      <alignment horizontal="center"/>
    </xf>
    <xf numFmtId="0" fontId="0" fillId="38" borderId="0" xfId="0" applyFill="1"/>
    <xf numFmtId="0" fontId="0" fillId="38" borderId="0" xfId="0" applyFill="1" applyAlignment="1"/>
    <xf numFmtId="0" fontId="0" fillId="0" borderId="0" xfId="0" applyAlignment="1">
      <alignment horizontal="center"/>
    </xf>
    <xf numFmtId="1" fontId="3" fillId="28" borderId="0" xfId="0" applyNumberFormat="1" applyFont="1" applyFill="1" applyAlignment="1">
      <alignment horizontal="center"/>
    </xf>
    <xf numFmtId="0" fontId="0" fillId="0" borderId="0" xfId="0" applyFill="1"/>
    <xf numFmtId="188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0" fillId="0" borderId="0" xfId="0" applyNumberFormat="1" applyFill="1" applyAlignment="1"/>
    <xf numFmtId="1" fontId="0" fillId="0" borderId="0" xfId="0" applyNumberFormat="1" applyFill="1" applyAlignment="1">
      <alignment horizontal="center"/>
    </xf>
    <xf numFmtId="2" fontId="3" fillId="0" borderId="0" xfId="0" applyNumberFormat="1" applyFont="1" applyFill="1" applyAlignment="1"/>
    <xf numFmtId="0" fontId="0" fillId="0" borderId="0" xfId="0" applyAlignment="1">
      <alignment horizontal="center" vertical="center"/>
    </xf>
    <xf numFmtId="1" fontId="41" fillId="28" borderId="75" xfId="0" applyNumberFormat="1" applyFont="1" applyFill="1" applyBorder="1"/>
    <xf numFmtId="188" fontId="39" fillId="28" borderId="124" xfId="0" applyNumberFormat="1" applyFont="1" applyFill="1" applyBorder="1"/>
    <xf numFmtId="188" fontId="39" fillId="28" borderId="125" xfId="0" applyNumberFormat="1" applyFont="1" applyFill="1" applyBorder="1"/>
    <xf numFmtId="188" fontId="39" fillId="28" borderId="127" xfId="0" applyNumberFormat="1" applyFont="1" applyFill="1" applyBorder="1"/>
    <xf numFmtId="188" fontId="39" fillId="28" borderId="129" xfId="0" applyNumberFormat="1" applyFont="1" applyFill="1" applyBorder="1"/>
    <xf numFmtId="188" fontId="41" fillId="28" borderId="130" xfId="0" applyNumberFormat="1" applyFont="1" applyFill="1" applyBorder="1" applyAlignment="1">
      <alignment horizontal="right"/>
    </xf>
    <xf numFmtId="188" fontId="39" fillId="28" borderId="132" xfId="0" applyNumberFormat="1" applyFont="1" applyFill="1" applyBorder="1"/>
    <xf numFmtId="188" fontId="39" fillId="28" borderId="133" xfId="0" applyNumberFormat="1" applyFont="1" applyFill="1" applyBorder="1"/>
    <xf numFmtId="188" fontId="39" fillId="28" borderId="134" xfId="0" applyNumberFormat="1" applyFont="1" applyFill="1" applyBorder="1"/>
    <xf numFmtId="2" fontId="72" fillId="0" borderId="38" xfId="0" applyNumberFormat="1" applyFont="1" applyBorder="1"/>
    <xf numFmtId="0" fontId="22" fillId="0" borderId="0" xfId="0" applyFont="1"/>
    <xf numFmtId="188" fontId="42" fillId="29" borderId="28" xfId="0" applyNumberFormat="1" applyFont="1" applyFill="1" applyBorder="1"/>
    <xf numFmtId="0" fontId="73" fillId="0" borderId="28" xfId="0" applyFont="1" applyBorder="1" applyAlignment="1">
      <alignment wrapText="1"/>
    </xf>
    <xf numFmtId="2" fontId="42" fillId="0" borderId="28" xfId="0" applyNumberFormat="1" applyFont="1" applyBorder="1"/>
    <xf numFmtId="0" fontId="0" fillId="0" borderId="0" xfId="0" applyAlignment="1">
      <alignment horizontal="center" vertical="center" wrapText="1"/>
    </xf>
    <xf numFmtId="4" fontId="26" fillId="27" borderId="48" xfId="0" applyNumberFormat="1" applyFont="1" applyFill="1" applyBorder="1" applyAlignment="1">
      <alignment horizontal="center" vertical="center"/>
    </xf>
    <xf numFmtId="0" fontId="26" fillId="0" borderId="78" xfId="0" applyFont="1" applyBorder="1"/>
    <xf numFmtId="0" fontId="26" fillId="0" borderId="0" xfId="0" applyFont="1" applyBorder="1"/>
    <xf numFmtId="0" fontId="26" fillId="0" borderId="0" xfId="0" applyFont="1"/>
    <xf numFmtId="187" fontId="26" fillId="26" borderId="19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172" fontId="1" fillId="0" borderId="13" xfId="0" applyNumberFormat="1" applyFont="1" applyFill="1" applyBorder="1" applyAlignment="1">
      <alignment horizontal="center" vertical="center" wrapText="1"/>
    </xf>
    <xf numFmtId="0" fontId="37" fillId="0" borderId="86" xfId="0" applyFont="1" applyBorder="1" applyAlignment="1"/>
    <xf numFmtId="0" fontId="64" fillId="0" borderId="95" xfId="0" applyFont="1" applyBorder="1" applyAlignment="1">
      <alignment horizontal="center" vertical="center" wrapText="1"/>
    </xf>
    <xf numFmtId="0" fontId="37" fillId="0" borderId="0" xfId="0" applyFont="1"/>
    <xf numFmtId="2" fontId="37" fillId="0" borderId="0" xfId="0" applyNumberFormat="1" applyFont="1"/>
    <xf numFmtId="174" fontId="37" fillId="0" borderId="16" xfId="409" applyNumberFormat="1" applyFont="1" applyBorder="1"/>
    <xf numFmtId="1" fontId="26" fillId="0" borderId="17" xfId="0" applyNumberFormat="1" applyFont="1" applyBorder="1" applyAlignment="1">
      <alignment horizontal="center" vertical="center"/>
    </xf>
    <xf numFmtId="9" fontId="26" fillId="0" borderId="17" xfId="0" applyNumberFormat="1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185" fontId="26" fillId="0" borderId="13" xfId="0" applyNumberFormat="1" applyFont="1" applyBorder="1" applyAlignment="1">
      <alignment horizontal="center" vertical="center"/>
    </xf>
    <xf numFmtId="180" fontId="26" fillId="30" borderId="13" xfId="0" applyNumberFormat="1" applyFont="1" applyFill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26" fillId="0" borderId="13" xfId="0" applyFont="1" applyBorder="1"/>
    <xf numFmtId="172" fontId="26" fillId="0" borderId="13" xfId="0" applyNumberFormat="1" applyFont="1" applyFill="1" applyBorder="1" applyAlignment="1">
      <alignment horizontal="center" vertical="center"/>
    </xf>
    <xf numFmtId="1" fontId="30" fillId="0" borderId="143" xfId="0" applyNumberFormat="1" applyFont="1" applyBorder="1" applyAlignment="1">
      <alignment horizontal="center" vertical="center"/>
    </xf>
    <xf numFmtId="1" fontId="26" fillId="0" borderId="48" xfId="0" applyNumberFormat="1" applyFont="1" applyBorder="1" applyAlignment="1">
      <alignment horizontal="center" vertical="center"/>
    </xf>
    <xf numFmtId="9" fontId="26" fillId="0" borderId="48" xfId="0" applyNumberFormat="1" applyFont="1" applyBorder="1" applyAlignment="1">
      <alignment horizontal="center" vertical="center"/>
    </xf>
    <xf numFmtId="1" fontId="26" fillId="0" borderId="143" xfId="0" applyNumberFormat="1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 wrapText="1"/>
    </xf>
    <xf numFmtId="1" fontId="26" fillId="0" borderId="88" xfId="0" applyNumberFormat="1" applyFont="1" applyBorder="1" applyAlignment="1">
      <alignment horizontal="center" vertical="center" wrapText="1"/>
    </xf>
    <xf numFmtId="0" fontId="26" fillId="0" borderId="20" xfId="0" quotePrefix="1" applyFont="1" applyBorder="1" applyAlignment="1">
      <alignment horizontal="center" vertical="center" wrapText="1"/>
    </xf>
    <xf numFmtId="1" fontId="26" fillId="0" borderId="20" xfId="0" applyNumberFormat="1" applyFont="1" applyBorder="1" applyAlignment="1">
      <alignment horizontal="center" vertical="center" wrapText="1"/>
    </xf>
    <xf numFmtId="9" fontId="26" fillId="0" borderId="20" xfId="0" quotePrefix="1" applyNumberFormat="1" applyFont="1" applyBorder="1" applyAlignment="1">
      <alignment horizontal="center" vertical="center" wrapText="1"/>
    </xf>
    <xf numFmtId="9" fontId="26" fillId="0" borderId="20" xfId="0" applyNumberFormat="1" applyFont="1" applyBorder="1" applyAlignment="1">
      <alignment horizontal="center" vertical="center" wrapText="1"/>
    </xf>
    <xf numFmtId="164" fontId="26" fillId="0" borderId="20" xfId="0" applyNumberFormat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1" fontId="26" fillId="0" borderId="20" xfId="0" applyNumberFormat="1" applyFont="1" applyFill="1" applyBorder="1" applyAlignment="1">
      <alignment horizontal="center" vertical="center" wrapText="1"/>
    </xf>
    <xf numFmtId="170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7" fillId="0" borderId="87" xfId="0" applyFont="1" applyBorder="1" applyAlignment="1">
      <alignment horizontal="center" vertical="center" wrapText="1"/>
    </xf>
    <xf numFmtId="1" fontId="77" fillId="0" borderId="87" xfId="0" applyNumberFormat="1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1" fontId="77" fillId="0" borderId="0" xfId="0" applyNumberFormat="1" applyFont="1" applyAlignment="1">
      <alignment horizontal="center" vertical="center" wrapText="1"/>
    </xf>
    <xf numFmtId="164" fontId="26" fillId="0" borderId="0" xfId="0" applyNumberFormat="1" applyFont="1" applyBorder="1" applyAlignment="1">
      <alignment horizontal="center" vertical="center" wrapText="1"/>
    </xf>
    <xf numFmtId="9" fontId="26" fillId="0" borderId="0" xfId="0" applyNumberFormat="1" applyFont="1" applyBorder="1" applyAlignment="1">
      <alignment horizontal="center" vertical="center" wrapText="1"/>
    </xf>
    <xf numFmtId="42" fontId="26" fillId="0" borderId="0" xfId="0" applyNumberFormat="1" applyFont="1" applyBorder="1" applyAlignment="1">
      <alignment horizontal="center" vertical="center" wrapText="1"/>
    </xf>
    <xf numFmtId="172" fontId="26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7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98" xfId="0" applyNumberFormat="1" applyBorder="1" applyAlignment="1">
      <alignment horizontal="center" vertical="center" wrapText="1"/>
    </xf>
    <xf numFmtId="172" fontId="0" fillId="0" borderId="98" xfId="0" applyNumberFormat="1" applyBorder="1" applyAlignment="1">
      <alignment horizontal="center" vertical="center" wrapText="1"/>
    </xf>
    <xf numFmtId="4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93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8" fontId="42" fillId="0" borderId="0" xfId="0" applyNumberFormat="1" applyFont="1" applyBorder="1" applyAlignment="1">
      <alignment horizontal="center" vertical="center" wrapText="1"/>
    </xf>
    <xf numFmtId="188" fontId="42" fillId="0" borderId="0" xfId="0" applyNumberFormat="1" applyFont="1" applyAlignment="1">
      <alignment horizontal="center" vertical="center" wrapText="1"/>
    </xf>
    <xf numFmtId="188" fontId="59" fillId="0" borderId="0" xfId="0" applyNumberFormat="1" applyFont="1" applyAlignment="1">
      <alignment horizontal="center" vertical="center" wrapText="1"/>
    </xf>
    <xf numFmtId="188" fontId="59" fillId="0" borderId="0" xfId="0" applyNumberFormat="1" applyFont="1" applyBorder="1" applyAlignment="1">
      <alignment horizontal="center" vertical="center" wrapText="1"/>
    </xf>
    <xf numFmtId="188" fontId="20" fillId="0" borderId="0" xfId="0" applyNumberFormat="1" applyFont="1" applyAlignment="1">
      <alignment horizontal="center" vertical="center" wrapText="1" shrinkToFit="1"/>
    </xf>
    <xf numFmtId="1" fontId="59" fillId="0" borderId="0" xfId="0" applyNumberFormat="1" applyFont="1" applyFill="1" applyBorder="1" applyAlignment="1">
      <alignment horizontal="center" vertical="center" wrapText="1"/>
    </xf>
    <xf numFmtId="188" fontId="42" fillId="0" borderId="0" xfId="0" applyNumberFormat="1" applyFont="1" applyFill="1" applyAlignment="1">
      <alignment horizontal="center" vertical="center" wrapText="1"/>
    </xf>
    <xf numFmtId="1" fontId="59" fillId="27" borderId="146" xfId="0" applyNumberFormat="1" applyFont="1" applyFill="1" applyBorder="1" applyAlignment="1">
      <alignment horizontal="center" vertical="center" wrapText="1"/>
    </xf>
    <xf numFmtId="1" fontId="59" fillId="27" borderId="147" xfId="0" applyNumberFormat="1" applyFont="1" applyFill="1" applyBorder="1" applyAlignment="1">
      <alignment horizontal="center" vertical="center" wrapText="1"/>
    </xf>
    <xf numFmtId="0" fontId="0" fillId="0" borderId="120" xfId="0" applyFill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188" fontId="79" fillId="0" borderId="0" xfId="0" applyNumberFormat="1" applyFont="1" applyAlignment="1">
      <alignment horizontal="center" vertical="center" wrapText="1" shrinkToFit="1"/>
    </xf>
    <xf numFmtId="195" fontId="62" fillId="27" borderId="0" xfId="0" applyNumberFormat="1" applyFont="1" applyFill="1" applyAlignment="1">
      <alignment horizontal="center" vertical="center" wrapText="1"/>
    </xf>
    <xf numFmtId="195" fontId="80" fillId="26" borderId="16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0" fontId="78" fillId="0" borderId="162" xfId="0" applyFont="1" applyBorder="1" applyAlignment="1">
      <alignment horizontal="center" vertical="center" wrapText="1"/>
    </xf>
    <xf numFmtId="1" fontId="80" fillId="26" borderId="162" xfId="0" applyNumberFormat="1" applyFont="1" applyFill="1" applyBorder="1" applyAlignment="1">
      <alignment horizontal="center" vertical="center" wrapText="1"/>
    </xf>
    <xf numFmtId="0" fontId="1" fillId="37" borderId="0" xfId="0" applyFont="1" applyFill="1" applyAlignment="1">
      <alignment horizontal="center" vertical="center" wrapText="1"/>
    </xf>
    <xf numFmtId="4" fontId="26" fillId="27" borderId="81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1" fillId="0" borderId="0" xfId="443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Fill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2" fontId="37" fillId="0" borderId="0" xfId="0" applyNumberFormat="1" applyFont="1" applyBorder="1" applyAlignment="1">
      <alignment horizontal="center" vertical="center"/>
    </xf>
    <xf numFmtId="170" fontId="37" fillId="0" borderId="0" xfId="0" applyNumberFormat="1" applyFont="1" applyAlignment="1">
      <alignment horizontal="center" vertical="center"/>
    </xf>
    <xf numFmtId="0" fontId="37" fillId="34" borderId="0" xfId="0" applyFont="1" applyFill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0" xfId="0" applyFont="1" applyBorder="1" applyAlignment="1" applyProtection="1">
      <alignment horizontal="center" vertical="center"/>
      <protection hidden="1"/>
    </xf>
    <xf numFmtId="164" fontId="37" fillId="0" borderId="20" xfId="0" applyNumberFormat="1" applyFont="1" applyBorder="1" applyAlignment="1" applyProtection="1">
      <alignment horizontal="center" vertical="center"/>
      <protection hidden="1"/>
    </xf>
    <xf numFmtId="164" fontId="37" fillId="0" borderId="0" xfId="0" applyNumberFormat="1" applyFont="1" applyAlignment="1">
      <alignment horizontal="center" vertical="center"/>
    </xf>
    <xf numFmtId="186" fontId="37" fillId="0" borderId="0" xfId="0" applyNumberFormat="1" applyFont="1" applyAlignment="1">
      <alignment horizontal="center" vertical="center"/>
    </xf>
    <xf numFmtId="188" fontId="20" fillId="29" borderId="62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" fillId="0" borderId="0" xfId="44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96" fontId="26" fillId="27" borderId="49" xfId="0" applyNumberFormat="1" applyFont="1" applyFill="1" applyBorder="1" applyAlignment="1">
      <alignment horizontal="center" vertical="center"/>
    </xf>
    <xf numFmtId="0" fontId="0" fillId="45" borderId="0" xfId="0" applyFill="1" applyAlignment="1">
      <alignment horizontal="center" vertical="center"/>
    </xf>
    <xf numFmtId="2" fontId="0" fillId="45" borderId="0" xfId="0" applyNumberFormat="1" applyFill="1" applyAlignment="1">
      <alignment horizontal="center" vertical="center"/>
    </xf>
    <xf numFmtId="186" fontId="0" fillId="45" borderId="0" xfId="0" applyNumberFormat="1" applyFill="1" applyAlignment="1">
      <alignment horizontal="center" vertical="center"/>
    </xf>
    <xf numFmtId="0" fontId="22" fillId="45" borderId="0" xfId="0" applyFont="1" applyFill="1" applyAlignment="1">
      <alignment horizontal="center" vertical="center"/>
    </xf>
    <xf numFmtId="0" fontId="0" fillId="45" borderId="0" xfId="0" applyFill="1" applyAlignment="1">
      <alignment horizontal="center" vertical="center" wrapText="1"/>
    </xf>
    <xf numFmtId="186" fontId="22" fillId="45" borderId="0" xfId="0" applyNumberFormat="1" applyFont="1" applyFill="1" applyAlignment="1">
      <alignment horizontal="center" vertical="center" wrapText="1"/>
    </xf>
    <xf numFmtId="0" fontId="37" fillId="45" borderId="0" xfId="0" applyFont="1" applyFill="1" applyAlignment="1">
      <alignment horizontal="center" vertical="center"/>
    </xf>
    <xf numFmtId="186" fontId="37" fillId="45" borderId="0" xfId="0" applyNumberFormat="1" applyFont="1" applyFill="1" applyAlignment="1">
      <alignment horizontal="center" vertical="center"/>
    </xf>
    <xf numFmtId="188" fontId="41" fillId="45" borderId="28" xfId="0" applyNumberFormat="1" applyFont="1" applyFill="1" applyBorder="1" applyAlignment="1">
      <alignment horizontal="center" vertical="center"/>
    </xf>
    <xf numFmtId="189" fontId="48" fillId="45" borderId="65" xfId="0" applyNumberFormat="1" applyFont="1" applyFill="1" applyBorder="1" applyAlignment="1">
      <alignment horizontal="center" vertical="center"/>
    </xf>
    <xf numFmtId="188" fontId="41" fillId="45" borderId="30" xfId="0" applyNumberFormat="1" applyFont="1" applyFill="1" applyBorder="1" applyAlignment="1">
      <alignment horizontal="center" vertical="center"/>
    </xf>
    <xf numFmtId="188" fontId="42" fillId="45" borderId="32" xfId="0" applyNumberFormat="1" applyFont="1" applyFill="1" applyBorder="1" applyAlignment="1">
      <alignment horizontal="center" vertical="center"/>
    </xf>
    <xf numFmtId="188" fontId="42" fillId="45" borderId="0" xfId="0" applyNumberFormat="1" applyFont="1" applyFill="1" applyAlignment="1">
      <alignment horizontal="center" vertical="center"/>
    </xf>
    <xf numFmtId="1" fontId="42" fillId="45" borderId="92" xfId="0" applyNumberFormat="1" applyFont="1" applyFill="1" applyBorder="1" applyAlignment="1">
      <alignment horizontal="center" vertical="center"/>
    </xf>
    <xf numFmtId="1" fontId="42" fillId="45" borderId="30" xfId="0" applyNumberFormat="1" applyFont="1" applyFill="1" applyBorder="1" applyAlignment="1">
      <alignment horizontal="center" vertical="center"/>
    </xf>
    <xf numFmtId="1" fontId="42" fillId="45" borderId="29" xfId="0" applyNumberFormat="1" applyFont="1" applyFill="1" applyBorder="1" applyAlignment="1">
      <alignment horizontal="center" vertical="center"/>
    </xf>
    <xf numFmtId="1" fontId="42" fillId="45" borderId="93" xfId="0" applyNumberFormat="1" applyFont="1" applyFill="1" applyBorder="1" applyAlignment="1">
      <alignment horizontal="center" vertical="center"/>
    </xf>
    <xf numFmtId="1" fontId="42" fillId="45" borderId="32" xfId="0" applyNumberFormat="1" applyFont="1" applyFill="1" applyBorder="1" applyAlignment="1">
      <alignment horizontal="center" vertical="center"/>
    </xf>
    <xf numFmtId="1" fontId="42" fillId="45" borderId="0" xfId="0" applyNumberFormat="1" applyFont="1" applyFill="1" applyAlignment="1">
      <alignment horizontal="center" vertical="center"/>
    </xf>
    <xf numFmtId="164" fontId="42" fillId="45" borderId="65" xfId="0" applyNumberFormat="1" applyFont="1" applyFill="1" applyBorder="1" applyAlignment="1">
      <alignment horizontal="center" vertical="center"/>
    </xf>
    <xf numFmtId="188" fontId="42" fillId="45" borderId="30" xfId="0" applyNumberFormat="1" applyFont="1" applyFill="1" applyBorder="1" applyAlignment="1">
      <alignment horizontal="center" vertical="center"/>
    </xf>
    <xf numFmtId="188" fontId="42" fillId="45" borderId="59" xfId="0" applyNumberFormat="1" applyFont="1" applyFill="1" applyBorder="1" applyAlignment="1">
      <alignment horizontal="center" vertical="center"/>
    </xf>
    <xf numFmtId="2" fontId="42" fillId="45" borderId="0" xfId="0" applyNumberFormat="1" applyFont="1" applyFill="1" applyAlignment="1">
      <alignment horizontal="center" vertical="center"/>
    </xf>
    <xf numFmtId="188" fontId="42" fillId="45" borderId="61" xfId="0" applyNumberFormat="1" applyFont="1" applyFill="1" applyBorder="1" applyAlignment="1">
      <alignment horizontal="center" vertical="center"/>
    </xf>
    <xf numFmtId="2" fontId="42" fillId="45" borderId="29" xfId="0" applyNumberFormat="1" applyFont="1" applyFill="1" applyBorder="1" applyAlignment="1">
      <alignment horizontal="center" vertical="center"/>
    </xf>
    <xf numFmtId="0" fontId="1" fillId="46" borderId="0" xfId="0" applyFont="1" applyFill="1" applyAlignment="1">
      <alignment horizontal="center" vertical="center" wrapText="1"/>
    </xf>
    <xf numFmtId="0" fontId="1" fillId="46" borderId="0" xfId="0" applyFont="1" applyFill="1"/>
    <xf numFmtId="2" fontId="1" fillId="0" borderId="0" xfId="0" applyNumberFormat="1" applyFont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2" fontId="20" fillId="0" borderId="29" xfId="0" applyNumberFormat="1" applyFont="1" applyFill="1" applyBorder="1" applyAlignment="1">
      <alignment horizontal="center" vertical="center"/>
    </xf>
    <xf numFmtId="0" fontId="0" fillId="47" borderId="0" xfId="0" applyFill="1" applyAlignment="1">
      <alignment horizontal="center" vertical="center"/>
    </xf>
    <xf numFmtId="197" fontId="80" fillId="26" borderId="16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2" fontId="1" fillId="0" borderId="0" xfId="0" applyNumberFormat="1" applyFont="1"/>
    <xf numFmtId="0" fontId="3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2" fillId="0" borderId="173" xfId="0" applyFont="1" applyBorder="1" applyAlignment="1">
      <alignment horizontal="center" vertical="center" wrapText="1" shrinkToFit="1"/>
    </xf>
    <xf numFmtId="4" fontId="26" fillId="32" borderId="34" xfId="0" applyNumberFormat="1" applyFont="1" applyFill="1" applyBorder="1" applyAlignment="1">
      <alignment horizontal="center" vertical="center"/>
    </xf>
    <xf numFmtId="0" fontId="22" fillId="0" borderId="174" xfId="0" applyFont="1" applyBorder="1" applyAlignment="1">
      <alignment horizontal="center" vertical="center" wrapText="1" shrinkToFit="1"/>
    </xf>
    <xf numFmtId="0" fontId="0" fillId="0" borderId="175" xfId="0" applyBorder="1" applyAlignment="1">
      <alignment horizontal="center" vertical="center" wrapText="1"/>
    </xf>
    <xf numFmtId="0" fontId="26" fillId="0" borderId="176" xfId="0" applyFont="1" applyBorder="1" applyAlignment="1">
      <alignment horizontal="center" vertical="center"/>
    </xf>
    <xf numFmtId="4" fontId="26" fillId="32" borderId="146" xfId="0" applyNumberFormat="1" applyFont="1" applyFill="1" applyBorder="1" applyAlignment="1">
      <alignment horizontal="center" vertical="center"/>
    </xf>
    <xf numFmtId="0" fontId="1" fillId="45" borderId="0" xfId="0" quotePrefix="1" applyFont="1" applyFill="1" applyAlignment="1">
      <alignment wrapText="1"/>
    </xf>
    <xf numFmtId="0" fontId="77" fillId="42" borderId="156" xfId="0" applyFont="1" applyFill="1" applyBorder="1" applyAlignment="1">
      <alignment horizontal="center" vertical="center" wrapText="1"/>
    </xf>
    <xf numFmtId="170" fontId="77" fillId="0" borderId="87" xfId="0" applyNumberFormat="1" applyFont="1" applyFill="1" applyBorder="1" applyAlignment="1">
      <alignment horizontal="center" vertical="center" wrapText="1"/>
    </xf>
    <xf numFmtId="170" fontId="26" fillId="0" borderId="20" xfId="0" applyNumberFormat="1" applyFont="1" applyFill="1" applyBorder="1" applyAlignment="1">
      <alignment horizontal="center" vertical="center" wrapText="1"/>
    </xf>
    <xf numFmtId="172" fontId="67" fillId="42" borderId="20" xfId="0" applyNumberFormat="1" applyFont="1" applyFill="1" applyBorder="1" applyAlignment="1">
      <alignment horizontal="center" vertical="center" wrapText="1"/>
    </xf>
    <xf numFmtId="172" fontId="67" fillId="42" borderId="155" xfId="0" applyNumberFormat="1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7" fillId="4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87" fontId="37" fillId="0" borderId="0" xfId="0" applyNumberFormat="1" applyFont="1" applyFill="1" applyBorder="1" applyAlignment="1">
      <alignment horizontal="center" vertical="center"/>
    </xf>
    <xf numFmtId="2" fontId="64" fillId="0" borderId="177" xfId="0" applyNumberFormat="1" applyFont="1" applyBorder="1" applyAlignment="1">
      <alignment horizontal="center" vertical="center" wrapText="1"/>
    </xf>
    <xf numFmtId="2" fontId="84" fillId="0" borderId="177" xfId="0" applyNumberFormat="1" applyFont="1" applyBorder="1" applyAlignment="1">
      <alignment horizontal="center" vertical="center" wrapText="1" shrinkToFit="1"/>
    </xf>
    <xf numFmtId="0" fontId="64" fillId="0" borderId="177" xfId="0" applyFont="1" applyBorder="1" applyAlignment="1">
      <alignment horizontal="center" vertical="center" wrapText="1"/>
    </xf>
    <xf numFmtId="0" fontId="3" fillId="0" borderId="17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26" fillId="0" borderId="162" xfId="0" applyNumberFormat="1" applyFont="1" applyBorder="1" applyAlignment="1">
      <alignment horizontal="center" vertical="center" wrapText="1"/>
    </xf>
    <xf numFmtId="2" fontId="26" fillId="0" borderId="162" xfId="0" applyNumberFormat="1" applyFont="1" applyBorder="1" applyAlignment="1">
      <alignment horizontal="center" vertical="center"/>
    </xf>
    <xf numFmtId="2" fontId="26" fillId="0" borderId="179" xfId="0" applyNumberFormat="1" applyFont="1" applyBorder="1" applyAlignment="1">
      <alignment horizontal="center" vertical="center"/>
    </xf>
    <xf numFmtId="2" fontId="26" fillId="0" borderId="180" xfId="0" applyNumberFormat="1" applyFont="1" applyBorder="1" applyAlignment="1">
      <alignment horizontal="center" vertical="center" wrapText="1"/>
    </xf>
    <xf numFmtId="2" fontId="26" fillId="0" borderId="180" xfId="0" applyNumberFormat="1" applyFont="1" applyBorder="1" applyAlignment="1">
      <alignment horizontal="center" vertical="center"/>
    </xf>
    <xf numFmtId="2" fontId="26" fillId="0" borderId="17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64" fillId="46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2" fontId="30" fillId="0" borderId="183" xfId="0" applyNumberFormat="1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1" fillId="0" borderId="146" xfId="443" applyNumberFormat="1" applyFill="1" applyBorder="1" applyAlignment="1" applyProtection="1">
      <alignment horizontal="center" vertical="center"/>
      <protection hidden="1"/>
    </xf>
    <xf numFmtId="1" fontId="26" fillId="27" borderId="17" xfId="0" applyNumberFormat="1" applyFont="1" applyFill="1" applyBorder="1" applyAlignment="1">
      <alignment horizontal="center" vertical="center"/>
    </xf>
    <xf numFmtId="1" fontId="26" fillId="26" borderId="13" xfId="0" applyNumberFormat="1" applyFont="1" applyFill="1" applyBorder="1" applyAlignment="1">
      <alignment horizontal="center" vertical="center"/>
    </xf>
    <xf numFmtId="186" fontId="26" fillId="27" borderId="13" xfId="0" applyNumberFormat="1" applyFont="1" applyFill="1" applyBorder="1" applyAlignment="1">
      <alignment horizontal="center" vertical="center"/>
    </xf>
    <xf numFmtId="187" fontId="26" fillId="27" borderId="13" xfId="0" applyNumberFormat="1" applyFont="1" applyFill="1" applyBorder="1" applyAlignment="1">
      <alignment horizontal="center" vertical="center"/>
    </xf>
    <xf numFmtId="1" fontId="26" fillId="27" borderId="13" xfId="0" applyNumberFormat="1" applyFont="1" applyFill="1" applyBorder="1" applyAlignment="1">
      <alignment horizontal="center" vertical="center"/>
    </xf>
    <xf numFmtId="181" fontId="26" fillId="26" borderId="13" xfId="0" applyNumberFormat="1" applyFont="1" applyFill="1" applyBorder="1" applyAlignment="1">
      <alignment horizontal="center" vertical="center"/>
    </xf>
    <xf numFmtId="10" fontId="26" fillId="0" borderId="13" xfId="0" applyNumberFormat="1" applyFont="1" applyFill="1" applyBorder="1" applyAlignment="1">
      <alignment horizontal="center" vertical="center"/>
    </xf>
    <xf numFmtId="182" fontId="26" fillId="0" borderId="13" xfId="443" applyNumberFormat="1" applyFont="1" applyFill="1" applyBorder="1" applyAlignment="1" applyProtection="1">
      <alignment vertical="center"/>
      <protection hidden="1"/>
    </xf>
    <xf numFmtId="0" fontId="26" fillId="26" borderId="13" xfId="0" applyFont="1" applyFill="1" applyBorder="1" applyAlignment="1">
      <alignment horizontal="center" vertical="center"/>
    </xf>
    <xf numFmtId="2" fontId="26" fillId="26" borderId="13" xfId="0" applyNumberFormat="1" applyFont="1" applyFill="1" applyBorder="1" applyAlignment="1">
      <alignment horizontal="center" vertical="center"/>
    </xf>
    <xf numFmtId="194" fontId="26" fillId="27" borderId="13" xfId="0" applyNumberFormat="1" applyFont="1" applyFill="1" applyBorder="1" applyAlignment="1">
      <alignment horizontal="center" vertical="center"/>
    </xf>
    <xf numFmtId="182" fontId="26" fillId="0" borderId="13" xfId="44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76" fillId="48" borderId="87" xfId="0" applyNumberFormat="1" applyFont="1" applyFill="1" applyBorder="1" applyAlignment="1">
      <alignment horizontal="center" vertical="center" wrapText="1"/>
    </xf>
    <xf numFmtId="42" fontId="26" fillId="48" borderId="20" xfId="0" applyNumberFormat="1" applyFont="1" applyFill="1" applyBorder="1" applyAlignment="1">
      <alignment horizontal="center" vertical="center" wrapText="1"/>
    </xf>
    <xf numFmtId="172" fontId="67" fillId="48" borderId="20" xfId="0" applyNumberFormat="1" applyFont="1" applyFill="1" applyBorder="1" applyAlignment="1">
      <alignment horizontal="center" vertical="center" wrapText="1"/>
    </xf>
    <xf numFmtId="2" fontId="76" fillId="49" borderId="87" xfId="0" applyNumberFormat="1" applyFont="1" applyFill="1" applyBorder="1" applyAlignment="1">
      <alignment horizontal="center" vertical="center" wrapText="1"/>
    </xf>
    <xf numFmtId="42" fontId="26" fillId="49" borderId="20" xfId="0" applyNumberFormat="1" applyFont="1" applyFill="1" applyBorder="1" applyAlignment="1">
      <alignment horizontal="center" vertical="center" wrapText="1"/>
    </xf>
    <xf numFmtId="42" fontId="67" fillId="49" borderId="20" xfId="0" applyNumberFormat="1" applyFont="1" applyFill="1" applyBorder="1" applyAlignment="1">
      <alignment horizontal="center" vertical="center" wrapText="1"/>
    </xf>
    <xf numFmtId="2" fontId="76" fillId="46" borderId="87" xfId="0" applyNumberFormat="1" applyFont="1" applyFill="1" applyBorder="1" applyAlignment="1">
      <alignment horizontal="center" vertical="center" wrapText="1"/>
    </xf>
    <xf numFmtId="42" fontId="26" fillId="46" borderId="20" xfId="0" applyNumberFormat="1" applyFont="1" applyFill="1" applyBorder="1" applyAlignment="1">
      <alignment horizontal="center" vertical="center" wrapText="1"/>
    </xf>
    <xf numFmtId="172" fontId="67" fillId="46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1" fontId="26" fillId="0" borderId="187" xfId="0" applyNumberFormat="1" applyFont="1" applyBorder="1" applyAlignment="1">
      <alignment horizontal="center" vertical="center" wrapText="1"/>
    </xf>
    <xf numFmtId="9" fontId="26" fillId="0" borderId="187" xfId="0" applyNumberFormat="1" applyFont="1" applyBorder="1" applyAlignment="1">
      <alignment horizontal="center" vertical="center" wrapText="1"/>
    </xf>
    <xf numFmtId="42" fontId="67" fillId="49" borderId="187" xfId="0" applyNumberFormat="1" applyFont="1" applyFill="1" applyBorder="1" applyAlignment="1">
      <alignment horizontal="center" vertical="center" wrapText="1"/>
    </xf>
    <xf numFmtId="172" fontId="67" fillId="48" borderId="18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0" fillId="42" borderId="88" xfId="0" applyNumberFormat="1" applyFont="1" applyFill="1" applyBorder="1" applyAlignment="1">
      <alignment horizontal="center" vertical="center" wrapText="1"/>
    </xf>
    <xf numFmtId="0" fontId="26" fillId="42" borderId="0" xfId="0" applyFont="1" applyFill="1" applyBorder="1" applyAlignment="1">
      <alignment horizontal="center" vertical="center" wrapText="1"/>
    </xf>
    <xf numFmtId="0" fontId="0" fillId="0" borderId="188" xfId="0" applyBorder="1" applyAlignment="1">
      <alignment horizontal="center" vertical="center" wrapText="1"/>
    </xf>
    <xf numFmtId="0" fontId="0" fillId="0" borderId="189" xfId="0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2" fontId="30" fillId="42" borderId="190" xfId="0" applyNumberFormat="1" applyFont="1" applyFill="1" applyBorder="1" applyAlignment="1">
      <alignment horizontal="center" vertical="center" wrapText="1"/>
    </xf>
    <xf numFmtId="0" fontId="26" fillId="0" borderId="155" xfId="0" applyFont="1" applyBorder="1" applyAlignment="1">
      <alignment horizontal="center" vertical="center" wrapText="1"/>
    </xf>
    <xf numFmtId="0" fontId="77" fillId="0" borderId="136" xfId="0" applyFont="1" applyBorder="1" applyAlignment="1">
      <alignment horizontal="center" vertical="center" wrapText="1"/>
    </xf>
    <xf numFmtId="2" fontId="77" fillId="0" borderId="192" xfId="0" applyNumberFormat="1" applyFont="1" applyBorder="1" applyAlignment="1">
      <alignment horizontal="center" vertical="center" wrapText="1"/>
    </xf>
    <xf numFmtId="2" fontId="86" fillId="42" borderId="191" xfId="0" applyNumberFormat="1" applyFont="1" applyFill="1" applyBorder="1" applyAlignment="1">
      <alignment horizontal="center" vertical="center" wrapText="1"/>
    </xf>
    <xf numFmtId="177" fontId="67" fillId="42" borderId="154" xfId="0" applyNumberFormat="1" applyFont="1" applyFill="1" applyBorder="1" applyAlignment="1">
      <alignment horizontal="center" vertical="center" wrapText="1"/>
    </xf>
    <xf numFmtId="172" fontId="67" fillId="46" borderId="155" xfId="0" applyNumberFormat="1" applyFont="1" applyFill="1" applyBorder="1" applyAlignment="1">
      <alignment horizontal="center" vertical="center" wrapText="1"/>
    </xf>
    <xf numFmtId="170" fontId="26" fillId="0" borderId="155" xfId="0" applyNumberFormat="1" applyFont="1" applyFill="1" applyBorder="1" applyAlignment="1">
      <alignment horizontal="center" vertical="center" wrapText="1"/>
    </xf>
    <xf numFmtId="177" fontId="67" fillId="42" borderId="193" xfId="0" applyNumberFormat="1" applyFont="1" applyFill="1" applyBorder="1" applyAlignment="1">
      <alignment horizontal="center" vertical="center" wrapText="1"/>
    </xf>
    <xf numFmtId="164" fontId="26" fillId="0" borderId="15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7" fillId="26" borderId="141" xfId="0" applyFont="1" applyFill="1" applyBorder="1" applyAlignment="1">
      <alignment horizontal="center" vertical="center"/>
    </xf>
    <xf numFmtId="0" fontId="0" fillId="0" borderId="142" xfId="0" applyBorder="1" applyAlignment="1"/>
    <xf numFmtId="0" fontId="71" fillId="0" borderId="163" xfId="0" applyFont="1" applyBorder="1" applyAlignment="1">
      <alignment horizontal="center" vertical="center"/>
    </xf>
    <xf numFmtId="0" fontId="71" fillId="0" borderId="161" xfId="0" applyFont="1" applyBorder="1" applyAlignment="1">
      <alignment horizontal="center" vertical="center"/>
    </xf>
    <xf numFmtId="188" fontId="70" fillId="31" borderId="157" xfId="0" applyNumberFormat="1" applyFont="1" applyFill="1" applyBorder="1" applyAlignment="1">
      <alignment horizontal="center" vertical="center" wrapText="1"/>
    </xf>
    <xf numFmtId="188" fontId="70" fillId="31" borderId="158" xfId="0" applyNumberFormat="1" applyFont="1" applyFill="1" applyBorder="1" applyAlignment="1">
      <alignment horizontal="center" vertical="center" wrapText="1"/>
    </xf>
    <xf numFmtId="186" fontId="70" fillId="31" borderId="121" xfId="0" applyNumberFormat="1" applyFont="1" applyFill="1" applyBorder="1" applyAlignment="1">
      <alignment horizontal="center" vertical="center" wrapText="1"/>
    </xf>
    <xf numFmtId="186" fontId="70" fillId="31" borderId="122" xfId="0" applyNumberFormat="1" applyFont="1" applyFill="1" applyBorder="1" applyAlignment="1">
      <alignment horizontal="center" vertical="center" wrapText="1"/>
    </xf>
    <xf numFmtId="188" fontId="60" fillId="39" borderId="143" xfId="0" applyNumberFormat="1" applyFont="1" applyFill="1" applyBorder="1" applyAlignment="1">
      <alignment horizontal="center" vertical="center" wrapText="1"/>
    </xf>
    <xf numFmtId="188" fontId="60" fillId="39" borderId="159" xfId="0" applyNumberFormat="1" applyFont="1" applyFill="1" applyBorder="1" applyAlignment="1">
      <alignment horizontal="center" vertical="center" wrapText="1"/>
    </xf>
    <xf numFmtId="188" fontId="61" fillId="28" borderId="143" xfId="0" applyNumberFormat="1" applyFont="1" applyFill="1" applyBorder="1" applyAlignment="1">
      <alignment horizontal="center" vertical="center" wrapText="1"/>
    </xf>
    <xf numFmtId="188" fontId="61" fillId="28" borderId="144" xfId="0" applyNumberFormat="1" applyFont="1" applyFill="1" applyBorder="1" applyAlignment="1">
      <alignment horizontal="center" vertical="center" wrapText="1"/>
    </xf>
    <xf numFmtId="188" fontId="61" fillId="28" borderId="145" xfId="0" applyNumberFormat="1" applyFont="1" applyFill="1" applyBorder="1" applyAlignment="1">
      <alignment horizontal="center" vertical="center" wrapText="1"/>
    </xf>
    <xf numFmtId="0" fontId="81" fillId="0" borderId="164" xfId="0" applyFont="1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71" fillId="0" borderId="135" xfId="0" applyFont="1" applyBorder="1" applyAlignment="1">
      <alignment horizontal="center" vertical="center" wrapText="1"/>
    </xf>
    <xf numFmtId="0" fontId="0" fillId="0" borderId="136" xfId="0" applyBorder="1" applyAlignment="1">
      <alignment wrapText="1"/>
    </xf>
    <xf numFmtId="0" fontId="0" fillId="0" borderId="171" xfId="0" applyBorder="1" applyAlignment="1">
      <alignment wrapText="1"/>
    </xf>
    <xf numFmtId="0" fontId="0" fillId="0" borderId="172" xfId="0" applyBorder="1" applyAlignment="1">
      <alignment wrapText="1"/>
    </xf>
    <xf numFmtId="188" fontId="44" fillId="0" borderId="25" xfId="0" applyNumberFormat="1" applyFont="1" applyBorder="1" applyAlignment="1">
      <alignment horizontal="center"/>
    </xf>
    <xf numFmtId="0" fontId="0" fillId="0" borderId="25" xfId="0" applyBorder="1" applyAlignment="1">
      <alignment wrapText="1"/>
    </xf>
    <xf numFmtId="49" fontId="41" fillId="28" borderId="0" xfId="0" applyNumberFormat="1" applyFont="1" applyFill="1" applyBorder="1" applyAlignment="1">
      <alignment horizontal="right"/>
    </xf>
    <xf numFmtId="188" fontId="39" fillId="28" borderId="0" xfId="0" applyNumberFormat="1" applyFont="1" applyFill="1" applyBorder="1"/>
    <xf numFmtId="49" fontId="41" fillId="28" borderId="75" xfId="0" applyNumberFormat="1" applyFont="1" applyFill="1" applyBorder="1" applyAlignment="1">
      <alignment horizontal="right"/>
    </xf>
    <xf numFmtId="1" fontId="41" fillId="28" borderId="75" xfId="0" applyNumberFormat="1" applyFont="1" applyFill="1" applyBorder="1"/>
    <xf numFmtId="188" fontId="43" fillId="36" borderId="103" xfId="0" applyNumberFormat="1" applyFont="1" applyFill="1" applyBorder="1" applyAlignment="1">
      <alignment horizontal="center"/>
    </xf>
    <xf numFmtId="0" fontId="0" fillId="0" borderId="104" xfId="0" applyBorder="1" applyAlignment="1">
      <alignment horizontal="center"/>
    </xf>
    <xf numFmtId="0" fontId="0" fillId="28" borderId="0" xfId="0" applyFill="1" applyAlignment="1">
      <alignment horizontal="center"/>
    </xf>
    <xf numFmtId="1" fontId="0" fillId="38" borderId="0" xfId="0" applyNumberFormat="1" applyFill="1" applyAlignment="1">
      <alignment horizontal="center"/>
    </xf>
    <xf numFmtId="2" fontId="3" fillId="38" borderId="0" xfId="0" applyNumberFormat="1" applyFont="1" applyFill="1" applyAlignment="1">
      <alignment horizontal="center"/>
    </xf>
    <xf numFmtId="188" fontId="40" fillId="28" borderId="127" xfId="0" applyNumberFormat="1" applyFont="1" applyFill="1" applyBorder="1" applyAlignment="1">
      <alignment horizontal="center"/>
    </xf>
    <xf numFmtId="188" fontId="40" fillId="28" borderId="128" xfId="0" applyNumberFormat="1" applyFont="1" applyFill="1" applyBorder="1" applyAlignment="1">
      <alignment horizontal="center"/>
    </xf>
    <xf numFmtId="188" fontId="45" fillId="0" borderId="25" xfId="0" applyNumberFormat="1" applyFont="1" applyBorder="1" applyAlignment="1">
      <alignment horizontal="center"/>
    </xf>
    <xf numFmtId="188" fontId="68" fillId="36" borderId="118" xfId="0" applyNumberFormat="1" applyFont="1" applyFill="1" applyBorder="1" applyAlignment="1">
      <alignment horizontal="center"/>
    </xf>
    <xf numFmtId="0" fontId="69" fillId="0" borderId="119" xfId="0" applyFont="1" applyBorder="1" applyAlignment="1">
      <alignment horizontal="center"/>
    </xf>
    <xf numFmtId="0" fontId="69" fillId="0" borderId="131" xfId="0" applyFont="1" applyBorder="1" applyAlignment="1">
      <alignment horizontal="center"/>
    </xf>
    <xf numFmtId="49" fontId="41" fillId="28" borderId="73" xfId="0" applyNumberFormat="1" applyFont="1" applyFill="1" applyBorder="1" applyAlignment="1">
      <alignment horizontal="right"/>
    </xf>
    <xf numFmtId="188" fontId="40" fillId="28" borderId="126" xfId="0" applyNumberFormat="1" applyFont="1" applyFill="1" applyBorder="1" applyAlignment="1">
      <alignment horizontal="center"/>
    </xf>
    <xf numFmtId="190" fontId="54" fillId="29" borderId="48" xfId="0" applyNumberFormat="1" applyFont="1" applyFill="1" applyBorder="1" applyAlignment="1">
      <alignment horizontal="center"/>
    </xf>
    <xf numFmtId="190" fontId="54" fillId="29" borderId="49" xfId="0" applyNumberFormat="1" applyFont="1" applyFill="1" applyBorder="1" applyAlignment="1">
      <alignment horizontal="center"/>
    </xf>
    <xf numFmtId="188" fontId="43" fillId="36" borderId="123" xfId="0" applyNumberFormat="1" applyFont="1" applyFill="1" applyBorder="1" applyAlignment="1">
      <alignment horizontal="center"/>
    </xf>
    <xf numFmtId="188" fontId="43" fillId="36" borderId="102" xfId="0" applyNumberFormat="1" applyFont="1" applyFill="1" applyBorder="1" applyAlignment="1">
      <alignment horizontal="center"/>
    </xf>
    <xf numFmtId="188" fontId="74" fillId="40" borderId="143" xfId="0" applyNumberFormat="1" applyFont="1" applyFill="1" applyBorder="1" applyAlignment="1">
      <alignment horizontal="center" vertical="center" wrapText="1"/>
    </xf>
    <xf numFmtId="0" fontId="75" fillId="40" borderId="144" xfId="0" applyFont="1" applyFill="1" applyBorder="1" applyAlignment="1">
      <alignment horizontal="center" vertical="center" wrapText="1"/>
    </xf>
    <xf numFmtId="0" fontId="75" fillId="40" borderId="145" xfId="0" applyFont="1" applyFill="1" applyBorder="1" applyAlignment="1">
      <alignment horizontal="center" vertical="center" wrapText="1"/>
    </xf>
    <xf numFmtId="188" fontId="56" fillId="29" borderId="28" xfId="0" applyNumberFormat="1" applyFont="1" applyFill="1" applyBorder="1" applyAlignment="1">
      <alignment horizontal="center"/>
    </xf>
    <xf numFmtId="0" fontId="0" fillId="0" borderId="28" xfId="0" applyBorder="1" applyAlignment="1">
      <alignment wrapText="1"/>
    </xf>
    <xf numFmtId="190" fontId="48" fillId="29" borderId="28" xfId="0" applyNumberFormat="1" applyFont="1" applyFill="1" applyBorder="1" applyAlignment="1">
      <alignment horizontal="center"/>
    </xf>
    <xf numFmtId="0" fontId="0" fillId="0" borderId="62" xfId="0" applyBorder="1" applyAlignment="1">
      <alignment wrapText="1"/>
    </xf>
    <xf numFmtId="188" fontId="42" fillId="0" borderId="28" xfId="0" applyNumberFormat="1" applyFont="1" applyBorder="1" applyAlignment="1">
      <alignment horizontal="center" vertical="center" shrinkToFit="1"/>
    </xf>
    <xf numFmtId="0" fontId="0" fillId="0" borderId="28" xfId="0" applyBorder="1" applyAlignment="1"/>
    <xf numFmtId="188" fontId="52" fillId="31" borderId="105" xfId="0" applyNumberFormat="1" applyFont="1" applyFill="1" applyBorder="1" applyAlignment="1">
      <alignment horizontal="center" vertical="center" shrinkToFit="1"/>
    </xf>
    <xf numFmtId="0" fontId="53" fillId="31" borderId="106" xfId="0" applyFont="1" applyFill="1" applyBorder="1" applyAlignment="1">
      <alignment horizontal="center" vertical="center" shrinkToFit="1"/>
    </xf>
    <xf numFmtId="188" fontId="46" fillId="0" borderId="101" xfId="0" applyNumberFormat="1" applyFont="1" applyBorder="1" applyAlignment="1">
      <alignment horizontal="center"/>
    </xf>
    <xf numFmtId="0" fontId="0" fillId="0" borderId="101" xfId="0" applyBorder="1" applyAlignment="1">
      <alignment wrapText="1"/>
    </xf>
    <xf numFmtId="188" fontId="47" fillId="0" borderId="28" xfId="0" applyNumberFormat="1" applyFont="1" applyBorder="1" applyAlignment="1">
      <alignment horizontal="center"/>
    </xf>
    <xf numFmtId="164" fontId="46" fillId="0" borderId="100" xfId="0" applyNumberFormat="1" applyFont="1" applyBorder="1" applyAlignment="1">
      <alignment horizontal="center"/>
    </xf>
    <xf numFmtId="0" fontId="0" fillId="0" borderId="65" xfId="0" applyBorder="1" applyAlignment="1">
      <alignment wrapText="1"/>
    </xf>
    <xf numFmtId="188" fontId="51" fillId="29" borderId="37" xfId="0" applyNumberFormat="1" applyFont="1" applyFill="1" applyBorder="1" applyAlignment="1">
      <alignment horizontal="center"/>
    </xf>
    <xf numFmtId="188" fontId="51" fillId="29" borderId="39" xfId="0" applyNumberFormat="1" applyFont="1" applyFill="1" applyBorder="1" applyAlignment="1">
      <alignment horizontal="center"/>
    </xf>
    <xf numFmtId="1" fontId="0" fillId="0" borderId="4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88" fontId="47" fillId="0" borderId="0" xfId="0" applyNumberFormat="1" applyFont="1"/>
    <xf numFmtId="0" fontId="71" fillId="0" borderId="136" xfId="0" applyFont="1" applyBorder="1" applyAlignment="1">
      <alignment wrapText="1"/>
    </xf>
    <xf numFmtId="0" fontId="71" fillId="0" borderId="139" xfId="0" applyFont="1" applyBorder="1" applyAlignment="1">
      <alignment wrapText="1"/>
    </xf>
    <xf numFmtId="0" fontId="71" fillId="0" borderId="137" xfId="0" applyFont="1" applyBorder="1" applyAlignment="1">
      <alignment wrapText="1"/>
    </xf>
    <xf numFmtId="0" fontId="71" fillId="0" borderId="138" xfId="0" applyFont="1" applyBorder="1" applyAlignment="1">
      <alignment wrapText="1"/>
    </xf>
    <xf numFmtId="0" fontId="71" fillId="0" borderId="140" xfId="0" applyFont="1" applyBorder="1" applyAlignment="1">
      <alignment wrapText="1"/>
    </xf>
    <xf numFmtId="0" fontId="64" fillId="0" borderId="110" xfId="0" applyFont="1" applyBorder="1" applyAlignment="1">
      <alignment horizontal="center" vertical="center" wrapText="1" shrinkToFit="1"/>
    </xf>
    <xf numFmtId="0" fontId="64" fillId="0" borderId="111" xfId="0" applyFont="1" applyBorder="1" applyAlignment="1">
      <alignment wrapText="1"/>
    </xf>
    <xf numFmtId="0" fontId="64" fillId="0" borderId="112" xfId="0" applyFont="1" applyBorder="1" applyAlignment="1">
      <alignment wrapText="1"/>
    </xf>
    <xf numFmtId="0" fontId="30" fillId="0" borderId="113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76" fillId="41" borderId="151" xfId="0" applyFont="1" applyFill="1" applyBorder="1" applyAlignment="1">
      <alignment horizontal="center" vertical="center" wrapText="1"/>
    </xf>
    <xf numFmtId="0" fontId="76" fillId="41" borderId="152" xfId="0" applyFont="1" applyFill="1" applyBorder="1" applyAlignment="1">
      <alignment wrapText="1"/>
    </xf>
    <xf numFmtId="0" fontId="76" fillId="41" borderId="153" xfId="0" applyFont="1" applyFill="1" applyBorder="1" applyAlignment="1">
      <alignment wrapText="1"/>
    </xf>
    <xf numFmtId="180" fontId="26" fillId="30" borderId="19" xfId="0" applyNumberFormat="1" applyFont="1" applyFill="1" applyBorder="1" applyAlignment="1">
      <alignment horizontal="center" vertical="center"/>
    </xf>
    <xf numFmtId="0" fontId="26" fillId="0" borderId="53" xfId="0" applyFont="1" applyBorder="1" applyAlignment="1"/>
    <xf numFmtId="0" fontId="26" fillId="0" borderId="18" xfId="0" applyFont="1" applyBorder="1" applyAlignment="1"/>
    <xf numFmtId="6" fontId="26" fillId="30" borderId="19" xfId="0" applyNumberFormat="1" applyFont="1" applyFill="1" applyBorder="1" applyAlignment="1">
      <alignment horizontal="center" vertical="center"/>
    </xf>
    <xf numFmtId="6" fontId="26" fillId="0" borderId="53" xfId="0" applyNumberFormat="1" applyFont="1" applyBorder="1" applyAlignment="1"/>
    <xf numFmtId="6" fontId="26" fillId="0" borderId="18" xfId="0" applyNumberFormat="1" applyFont="1" applyBorder="1" applyAlignment="1"/>
    <xf numFmtId="180" fontId="67" fillId="44" borderId="19" xfId="0" applyNumberFormat="1" applyFont="1" applyFill="1" applyBorder="1" applyAlignment="1">
      <alignment horizontal="center" vertical="center"/>
    </xf>
    <xf numFmtId="0" fontId="67" fillId="44" borderId="53" xfId="0" applyFont="1" applyFill="1" applyBorder="1" applyAlignment="1"/>
    <xf numFmtId="0" fontId="67" fillId="44" borderId="18" xfId="0" applyFont="1" applyFill="1" applyBorder="1" applyAlignment="1"/>
    <xf numFmtId="172" fontId="26" fillId="30" borderId="19" xfId="0" applyNumberFormat="1" applyFont="1" applyFill="1" applyBorder="1" applyAlignment="1">
      <alignment horizontal="center" vertical="center"/>
    </xf>
    <xf numFmtId="3" fontId="26" fillId="32" borderId="143" xfId="0" applyNumberFormat="1" applyFont="1" applyFill="1" applyBorder="1" applyAlignment="1">
      <alignment horizontal="center" vertical="center"/>
    </xf>
    <xf numFmtId="0" fontId="26" fillId="0" borderId="144" xfId="0" applyFont="1" applyBorder="1" applyAlignment="1"/>
    <xf numFmtId="0" fontId="26" fillId="0" borderId="145" xfId="0" applyFont="1" applyBorder="1" applyAlignment="1"/>
    <xf numFmtId="1" fontId="26" fillId="32" borderId="19" xfId="0" applyNumberFormat="1" applyFont="1" applyFill="1" applyBorder="1" applyAlignment="1">
      <alignment horizontal="center" vertical="center"/>
    </xf>
    <xf numFmtId="3" fontId="26" fillId="32" borderId="19" xfId="0" applyNumberFormat="1" applyFont="1" applyFill="1" applyBorder="1" applyAlignment="1">
      <alignment horizontal="center" vertical="center"/>
    </xf>
    <xf numFmtId="164" fontId="67" fillId="44" borderId="19" xfId="0" applyNumberFormat="1" applyFont="1" applyFill="1" applyBorder="1" applyAlignment="1">
      <alignment horizontal="center" vertical="center"/>
    </xf>
    <xf numFmtId="164" fontId="67" fillId="44" borderId="53" xfId="0" applyNumberFormat="1" applyFont="1" applyFill="1" applyBorder="1" applyAlignment="1"/>
    <xf numFmtId="164" fontId="67" fillId="44" borderId="18" xfId="0" applyNumberFormat="1" applyFont="1" applyFill="1" applyBorder="1" applyAlignment="1"/>
    <xf numFmtId="170" fontId="26" fillId="30" borderId="19" xfId="0" applyNumberFormat="1" applyFont="1" applyFill="1" applyBorder="1" applyAlignment="1">
      <alignment horizontal="center" vertical="center"/>
    </xf>
    <xf numFmtId="170" fontId="26" fillId="0" borderId="53" xfId="0" applyNumberFormat="1" applyFont="1" applyBorder="1" applyAlignment="1"/>
    <xf numFmtId="170" fontId="26" fillId="0" borderId="18" xfId="0" applyNumberFormat="1" applyFont="1" applyBorder="1" applyAlignment="1"/>
    <xf numFmtId="9" fontId="26" fillId="26" borderId="19" xfId="0" applyNumberFormat="1" applyFont="1" applyFill="1" applyBorder="1" applyAlignment="1">
      <alignment horizontal="center" vertical="center"/>
    </xf>
    <xf numFmtId="0" fontId="26" fillId="27" borderId="19" xfId="0" applyFont="1" applyFill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178" fontId="26" fillId="27" borderId="37" xfId="0" applyNumberFormat="1" applyFont="1" applyFill="1" applyBorder="1" applyAlignment="1">
      <alignment horizontal="center" vertical="center"/>
    </xf>
    <xf numFmtId="0" fontId="26" fillId="0" borderId="38" xfId="0" applyFont="1" applyBorder="1" applyAlignment="1"/>
    <xf numFmtId="0" fontId="26" fillId="0" borderId="39" xfId="0" applyFont="1" applyBorder="1" applyAlignment="1"/>
    <xf numFmtId="3" fontId="26" fillId="27" borderId="19" xfId="0" applyNumberFormat="1" applyFont="1" applyFill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172" fontId="26" fillId="26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3" fillId="0" borderId="36" xfId="0" applyFont="1" applyBorder="1" applyAlignment="1">
      <alignment wrapText="1"/>
    </xf>
    <xf numFmtId="0" fontId="1" fillId="0" borderId="117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175" fontId="32" fillId="0" borderId="81" xfId="0" applyNumberFormat="1" applyFont="1" applyBorder="1" applyAlignment="1">
      <alignment horizontal="center" vertical="center" wrapText="1" shrinkToFit="1"/>
    </xf>
    <xf numFmtId="175" fontId="32" fillId="0" borderId="17" xfId="0" applyNumberFormat="1" applyFont="1" applyBorder="1" applyAlignment="1">
      <alignment horizontal="center" vertical="center" wrapText="1" shrinkToFit="1"/>
    </xf>
    <xf numFmtId="0" fontId="82" fillId="0" borderId="168" xfId="0" applyFont="1" applyBorder="1" applyAlignment="1">
      <alignment horizontal="center" vertical="top" wrapText="1"/>
    </xf>
    <xf numFmtId="0" fontId="83" fillId="0" borderId="169" xfId="0" applyFont="1" applyBorder="1" applyAlignment="1">
      <alignment horizontal="center" vertical="top"/>
    </xf>
    <xf numFmtId="0" fontId="83" fillId="0" borderId="170" xfId="0" applyFont="1" applyBorder="1" applyAlignment="1">
      <alignment horizontal="center" vertical="top"/>
    </xf>
    <xf numFmtId="0" fontId="0" fillId="0" borderId="23" xfId="0" applyBorder="1" applyAlignment="1"/>
    <xf numFmtId="0" fontId="0" fillId="0" borderId="116" xfId="0" applyBorder="1" applyAlignment="1"/>
    <xf numFmtId="0" fontId="3" fillId="0" borderId="85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4" fontId="3" fillId="0" borderId="19" xfId="0" applyNumberFormat="1" applyFont="1" applyBorder="1" applyAlignment="1">
      <alignment horizontal="center" vertical="center"/>
    </xf>
    <xf numFmtId="0" fontId="0" fillId="0" borderId="53" xfId="0" applyBorder="1"/>
    <xf numFmtId="0" fontId="0" fillId="0" borderId="18" xfId="0" applyBorder="1"/>
    <xf numFmtId="0" fontId="0" fillId="0" borderId="21" xfId="0" applyFill="1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 wrapText="1"/>
    </xf>
    <xf numFmtId="0" fontId="0" fillId="0" borderId="108" xfId="0" applyFill="1" applyBorder="1" applyAlignment="1">
      <alignment horizontal="center" vertical="center" wrapText="1"/>
    </xf>
    <xf numFmtId="0" fontId="0" fillId="0" borderId="109" xfId="0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4" fillId="0" borderId="185" xfId="0" applyFont="1" applyBorder="1" applyAlignment="1">
      <alignment horizontal="center" vertical="center" wrapText="1"/>
    </xf>
    <xf numFmtId="0" fontId="64" fillId="0" borderId="186" xfId="0" applyFont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3" fontId="3" fillId="0" borderId="81" xfId="443" applyNumberFormat="1" applyFont="1" applyFill="1" applyBorder="1" applyAlignment="1" applyProtection="1">
      <alignment horizontal="center" vertical="center"/>
      <protection hidden="1"/>
    </xf>
    <xf numFmtId="3" fontId="3" fillId="0" borderId="17" xfId="443" applyNumberFormat="1" applyFont="1" applyFill="1" applyBorder="1" applyAlignment="1" applyProtection="1">
      <alignment horizontal="center" vertical="center"/>
      <protection hidden="1"/>
    </xf>
    <xf numFmtId="0" fontId="0" fillId="0" borderId="148" xfId="0" applyFill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 wrapText="1"/>
    </xf>
    <xf numFmtId="0" fontId="0" fillId="0" borderId="145" xfId="0" applyBorder="1" applyAlignment="1">
      <alignment horizontal="center" vertical="center"/>
    </xf>
    <xf numFmtId="2" fontId="2" fillId="0" borderId="143" xfId="0" applyNumberFormat="1" applyFont="1" applyFill="1" applyBorder="1" applyAlignment="1">
      <alignment horizontal="center" vertical="center" wrapText="1"/>
    </xf>
    <xf numFmtId="188" fontId="45" fillId="0" borderId="25" xfId="0" applyNumberFormat="1" applyFont="1" applyBorder="1" applyAlignment="1">
      <alignment horizontal="center" vertical="center"/>
    </xf>
    <xf numFmtId="188" fontId="47" fillId="0" borderId="0" xfId="0" applyNumberFormat="1" applyFont="1" applyBorder="1" applyAlignment="1">
      <alignment horizontal="center" vertical="center"/>
    </xf>
    <xf numFmtId="188" fontId="46" fillId="0" borderId="101" xfId="0" applyNumberFormat="1" applyFont="1" applyFill="1" applyBorder="1" applyAlignment="1">
      <alignment horizontal="center" vertical="center"/>
    </xf>
    <xf numFmtId="188" fontId="46" fillId="0" borderId="101" xfId="0" applyNumberFormat="1" applyFont="1" applyBorder="1" applyAlignment="1">
      <alignment horizontal="center" vertical="center"/>
    </xf>
    <xf numFmtId="188" fontId="47" fillId="0" borderId="28" xfId="0" applyNumberFormat="1" applyFont="1" applyBorder="1" applyAlignment="1">
      <alignment horizontal="center" vertical="center"/>
    </xf>
    <xf numFmtId="188" fontId="47" fillId="0" borderId="0" xfId="0" applyNumberFormat="1" applyFont="1" applyAlignment="1">
      <alignment horizontal="center" vertical="center"/>
    </xf>
    <xf numFmtId="188" fontId="44" fillId="0" borderId="25" xfId="0" applyNumberFormat="1" applyFont="1" applyFill="1" applyBorder="1" applyAlignment="1">
      <alignment horizontal="center" vertical="center"/>
    </xf>
    <xf numFmtId="188" fontId="44" fillId="0" borderId="25" xfId="0" applyNumberFormat="1" applyFont="1" applyBorder="1" applyAlignment="1">
      <alignment horizontal="center" vertical="center"/>
    </xf>
    <xf numFmtId="2" fontId="30" fillId="0" borderId="151" xfId="0" applyNumberFormat="1" applyFont="1" applyBorder="1" applyAlignment="1">
      <alignment horizontal="center" vertical="center"/>
    </xf>
    <xf numFmtId="0" fontId="0" fillId="0" borderId="152" xfId="0" applyBorder="1"/>
    <xf numFmtId="2" fontId="1" fillId="0" borderId="181" xfId="0" applyNumberFormat="1" applyFont="1" applyBorder="1" applyAlignment="1">
      <alignment horizontal="center" vertical="center" wrapText="1"/>
    </xf>
    <xf numFmtId="0" fontId="0" fillId="0" borderId="181" xfId="0" applyBorder="1" applyAlignment="1">
      <alignment horizontal="center" vertical="center" wrapText="1"/>
    </xf>
    <xf numFmtId="0" fontId="0" fillId="0" borderId="182" xfId="0" applyBorder="1" applyAlignment="1">
      <alignment horizontal="center" vertical="center" wrapText="1"/>
    </xf>
    <xf numFmtId="0" fontId="0" fillId="0" borderId="143" xfId="0" applyFill="1" applyBorder="1" applyAlignment="1">
      <alignment horizontal="center" vertical="center" wrapText="1"/>
    </xf>
    <xf numFmtId="0" fontId="0" fillId="0" borderId="143" xfId="0" applyFill="1" applyBorder="1" applyAlignment="1">
      <alignment horizontal="center" vertical="center"/>
    </xf>
    <xf numFmtId="0" fontId="3" fillId="0" borderId="113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0" fillId="0" borderId="144" xfId="0" applyBorder="1" applyAlignment="1">
      <alignment horizontal="center" vertical="center"/>
    </xf>
    <xf numFmtId="0" fontId="82" fillId="0" borderId="143" xfId="0" applyFont="1" applyBorder="1" applyAlignment="1">
      <alignment horizontal="center" vertical="top" wrapText="1"/>
    </xf>
    <xf numFmtId="0" fontId="0" fillId="0" borderId="144" xfId="0" applyBorder="1" applyAlignment="1">
      <alignment horizontal="center" vertical="top"/>
    </xf>
    <xf numFmtId="0" fontId="0" fillId="0" borderId="145" xfId="0" applyBorder="1" applyAlignment="1">
      <alignment horizontal="center" vertical="top"/>
    </xf>
    <xf numFmtId="0" fontId="3" fillId="0" borderId="184" xfId="0" applyFont="1" applyBorder="1" applyAlignment="1">
      <alignment horizontal="center" vertical="center" wrapText="1"/>
    </xf>
    <xf numFmtId="0" fontId="0" fillId="0" borderId="167" xfId="0" applyBorder="1" applyAlignment="1">
      <alignment horizontal="center" vertical="center"/>
    </xf>
    <xf numFmtId="0" fontId="0" fillId="0" borderId="143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/>
    </xf>
    <xf numFmtId="0" fontId="37" fillId="0" borderId="143" xfId="0" applyFont="1" applyFill="1" applyBorder="1" applyAlignment="1">
      <alignment horizontal="center" vertical="center" wrapText="1"/>
    </xf>
    <xf numFmtId="0" fontId="26" fillId="0" borderId="143" xfId="0" quotePrefix="1" applyFont="1" applyFill="1" applyBorder="1" applyAlignment="1">
      <alignment horizontal="center" vertical="center" wrapText="1"/>
    </xf>
    <xf numFmtId="0" fontId="38" fillId="0" borderId="143" xfId="0" applyFont="1" applyFill="1" applyBorder="1" applyAlignment="1">
      <alignment horizontal="center" vertical="center"/>
    </xf>
    <xf numFmtId="164" fontId="46" fillId="0" borderId="31" xfId="0" applyNumberFormat="1" applyFont="1" applyBorder="1" applyAlignment="1">
      <alignment horizontal="center" vertical="center"/>
    </xf>
    <xf numFmtId="164" fontId="46" fillId="0" borderId="65" xfId="0" applyNumberFormat="1" applyFont="1" applyBorder="1" applyAlignment="1">
      <alignment horizontal="center" vertical="center"/>
    </xf>
    <xf numFmtId="188" fontId="51" fillId="29" borderId="37" xfId="0" applyNumberFormat="1" applyFont="1" applyFill="1" applyBorder="1" applyAlignment="1">
      <alignment horizontal="center" vertical="center"/>
    </xf>
    <xf numFmtId="188" fontId="51" fillId="29" borderId="39" xfId="0" applyNumberFormat="1" applyFont="1" applyFill="1" applyBorder="1" applyAlignment="1">
      <alignment horizontal="center" vertical="center"/>
    </xf>
    <xf numFmtId="188" fontId="56" fillId="0" borderId="62" xfId="0" applyNumberFormat="1" applyFont="1" applyFill="1" applyBorder="1" applyAlignment="1">
      <alignment horizontal="center" vertical="center"/>
    </xf>
    <xf numFmtId="190" fontId="54" fillId="29" borderId="48" xfId="0" applyNumberFormat="1" applyFont="1" applyFill="1" applyBorder="1" applyAlignment="1">
      <alignment horizontal="center" vertical="center"/>
    </xf>
    <xf numFmtId="190" fontId="54" fillId="29" borderId="49" xfId="0" applyNumberFormat="1" applyFont="1" applyFill="1" applyBorder="1" applyAlignment="1">
      <alignment horizontal="center" vertical="center"/>
    </xf>
    <xf numFmtId="0" fontId="2" fillId="0" borderId="143" xfId="0" applyFont="1" applyBorder="1" applyAlignment="1">
      <alignment horizontal="center" vertical="center" wrapText="1"/>
    </xf>
    <xf numFmtId="10" fontId="0" fillId="0" borderId="143" xfId="0" applyNumberForma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190" fontId="48" fillId="29" borderId="62" xfId="0" applyNumberFormat="1" applyFont="1" applyFill="1" applyBorder="1" applyAlignment="1">
      <alignment horizontal="center" vertical="center"/>
    </xf>
    <xf numFmtId="0" fontId="1" fillId="0" borderId="185" xfId="0" applyFont="1" applyFill="1" applyBorder="1" applyAlignment="1">
      <alignment horizontal="center" vertical="center" wrapText="1"/>
    </xf>
    <xf numFmtId="0" fontId="0" fillId="0" borderId="18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0" borderId="185" xfId="0" applyFont="1" applyFill="1" applyBorder="1" applyAlignment="1">
      <alignment horizontal="center" vertical="center" wrapText="1"/>
    </xf>
    <xf numFmtId="0" fontId="2" fillId="0" borderId="185" xfId="0" applyFont="1" applyBorder="1" applyAlignment="1">
      <alignment horizontal="center" vertical="center" wrapText="1"/>
    </xf>
    <xf numFmtId="0" fontId="0" fillId="0" borderId="18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34" borderId="16" xfId="0" applyFill="1" applyBorder="1" applyAlignment="1">
      <alignment horizontal="center" vertical="center" wrapText="1"/>
    </xf>
    <xf numFmtId="164" fontId="30" fillId="43" borderId="0" xfId="0" applyNumberFormat="1" applyFont="1" applyFill="1" applyBorder="1" applyAlignment="1">
      <alignment horizontal="center" vertical="center" wrapText="1"/>
    </xf>
    <xf numFmtId="0" fontId="30" fillId="43" borderId="0" xfId="0" applyFont="1" applyFill="1" applyAlignment="1">
      <alignment horizontal="center" vertical="center" wrapText="1"/>
    </xf>
    <xf numFmtId="0" fontId="37" fillId="41" borderId="168" xfId="0" applyFont="1" applyFill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195" fontId="80" fillId="26" borderId="160" xfId="0" applyNumberFormat="1" applyFont="1" applyFill="1" applyBorder="1" applyAlignment="1" applyProtection="1">
      <alignment horizontal="center" vertical="center" wrapText="1"/>
    </xf>
  </cellXfs>
  <cellStyles count="701">
    <cellStyle name="20% - Colore 1 10" xfId="1"/>
    <cellStyle name="20% - Colore 1 11" xfId="2"/>
    <cellStyle name="20% - Colore 1 12" xfId="3"/>
    <cellStyle name="20% - Colore 1 13" xfId="4"/>
    <cellStyle name="20% - Colore 1 14" xfId="5"/>
    <cellStyle name="20% - Colore 1 15" xfId="6"/>
    <cellStyle name="20% - Colore 1 16" xfId="7"/>
    <cellStyle name="20% - Colore 1 2" xfId="8"/>
    <cellStyle name="20% - Colore 1 3" xfId="9"/>
    <cellStyle name="20% - Colore 1 4" xfId="10"/>
    <cellStyle name="20% - Colore 1 5" xfId="11"/>
    <cellStyle name="20% - Colore 1 6" xfId="12"/>
    <cellStyle name="20% - Colore 1 7" xfId="13"/>
    <cellStyle name="20% - Colore 1 8" xfId="14"/>
    <cellStyle name="20% - Colore 1 9" xfId="15"/>
    <cellStyle name="20% - Colore 2 10" xfId="16"/>
    <cellStyle name="20% - Colore 2 11" xfId="17"/>
    <cellStyle name="20% - Colore 2 12" xfId="18"/>
    <cellStyle name="20% - Colore 2 13" xfId="19"/>
    <cellStyle name="20% - Colore 2 14" xfId="20"/>
    <cellStyle name="20% - Colore 2 15" xfId="21"/>
    <cellStyle name="20% - Colore 2 16" xfId="22"/>
    <cellStyle name="20% - Colore 2 2" xfId="23"/>
    <cellStyle name="20% - Colore 2 3" xfId="24"/>
    <cellStyle name="20% - Colore 2 4" xfId="25"/>
    <cellStyle name="20% - Colore 2 5" xfId="26"/>
    <cellStyle name="20% - Colore 2 6" xfId="27"/>
    <cellStyle name="20% - Colore 2 7" xfId="28"/>
    <cellStyle name="20% - Colore 2 8" xfId="29"/>
    <cellStyle name="20% - Colore 2 9" xfId="30"/>
    <cellStyle name="20% - Colore 3 10" xfId="31"/>
    <cellStyle name="20% - Colore 3 11" xfId="32"/>
    <cellStyle name="20% - Colore 3 12" xfId="33"/>
    <cellStyle name="20% - Colore 3 13" xfId="34"/>
    <cellStyle name="20% - Colore 3 14" xfId="35"/>
    <cellStyle name="20% - Colore 3 15" xfId="36"/>
    <cellStyle name="20% - Colore 3 16" xfId="37"/>
    <cellStyle name="20% - Colore 3 2" xfId="38"/>
    <cellStyle name="20% - Colore 3 3" xfId="39"/>
    <cellStyle name="20% - Colore 3 4" xfId="40"/>
    <cellStyle name="20% - Colore 3 5" xfId="41"/>
    <cellStyle name="20% - Colore 3 6" xfId="42"/>
    <cellStyle name="20% - Colore 3 7" xfId="43"/>
    <cellStyle name="20% - Colore 3 8" xfId="44"/>
    <cellStyle name="20% - Colore 3 9" xfId="45"/>
    <cellStyle name="20% - Colore 4 10" xfId="46"/>
    <cellStyle name="20% - Colore 4 11" xfId="47"/>
    <cellStyle name="20% - Colore 4 12" xfId="48"/>
    <cellStyle name="20% - Colore 4 13" xfId="49"/>
    <cellStyle name="20% - Colore 4 14" xfId="50"/>
    <cellStyle name="20% - Colore 4 15" xfId="51"/>
    <cellStyle name="20% - Colore 4 16" xfId="52"/>
    <cellStyle name="20% - Colore 4 2" xfId="53"/>
    <cellStyle name="20% - Colore 4 3" xfId="54"/>
    <cellStyle name="20% - Colore 4 4" xfId="55"/>
    <cellStyle name="20% - Colore 4 5" xfId="56"/>
    <cellStyle name="20% - Colore 4 6" xfId="57"/>
    <cellStyle name="20% - Colore 4 7" xfId="58"/>
    <cellStyle name="20% - Colore 4 8" xfId="59"/>
    <cellStyle name="20% - Colore 4 9" xfId="60"/>
    <cellStyle name="20% - Colore 5 10" xfId="61"/>
    <cellStyle name="20% - Colore 5 11" xfId="62"/>
    <cellStyle name="20% - Colore 5 12" xfId="63"/>
    <cellStyle name="20% - Colore 5 13" xfId="64"/>
    <cellStyle name="20% - Colore 5 14" xfId="65"/>
    <cellStyle name="20% - Colore 5 15" xfId="66"/>
    <cellStyle name="20% - Colore 5 16" xfId="67"/>
    <cellStyle name="20% - Colore 5 2" xfId="68"/>
    <cellStyle name="20% - Colore 5 3" xfId="69"/>
    <cellStyle name="20% - Colore 5 4" xfId="70"/>
    <cellStyle name="20% - Colore 5 5" xfId="71"/>
    <cellStyle name="20% - Colore 5 6" xfId="72"/>
    <cellStyle name="20% - Colore 5 7" xfId="73"/>
    <cellStyle name="20% - Colore 5 8" xfId="74"/>
    <cellStyle name="20% - Colore 5 9" xfId="75"/>
    <cellStyle name="20% - Colore 6 10" xfId="76"/>
    <cellStyle name="20% - Colore 6 11" xfId="77"/>
    <cellStyle name="20% - Colore 6 12" xfId="78"/>
    <cellStyle name="20% - Colore 6 13" xfId="79"/>
    <cellStyle name="20% - Colore 6 14" xfId="80"/>
    <cellStyle name="20% - Colore 6 15" xfId="81"/>
    <cellStyle name="20% - Colore 6 16" xfId="82"/>
    <cellStyle name="20% - Colore 6 2" xfId="83"/>
    <cellStyle name="20% - Colore 6 3" xfId="84"/>
    <cellStyle name="20% - Colore 6 4" xfId="85"/>
    <cellStyle name="20% - Colore 6 5" xfId="86"/>
    <cellStyle name="20% - Colore 6 6" xfId="87"/>
    <cellStyle name="20% - Colore 6 7" xfId="88"/>
    <cellStyle name="20% - Colore 6 8" xfId="89"/>
    <cellStyle name="20% - Colore 6 9" xfId="90"/>
    <cellStyle name="40% - Colore 1 10" xfId="91"/>
    <cellStyle name="40% - Colore 1 11" xfId="92"/>
    <cellStyle name="40% - Colore 1 12" xfId="93"/>
    <cellStyle name="40% - Colore 1 13" xfId="94"/>
    <cellStyle name="40% - Colore 1 14" xfId="95"/>
    <cellStyle name="40% - Colore 1 15" xfId="96"/>
    <cellStyle name="40% - Colore 1 16" xfId="97"/>
    <cellStyle name="40% - Colore 1 2" xfId="98"/>
    <cellStyle name="40% - Colore 1 3" xfId="99"/>
    <cellStyle name="40% - Colore 1 4" xfId="100"/>
    <cellStyle name="40% - Colore 1 5" xfId="101"/>
    <cellStyle name="40% - Colore 1 6" xfId="102"/>
    <cellStyle name="40% - Colore 1 7" xfId="103"/>
    <cellStyle name="40% - Colore 1 8" xfId="104"/>
    <cellStyle name="40% - Colore 1 9" xfId="105"/>
    <cellStyle name="40% - Colore 2 10" xfId="106"/>
    <cellStyle name="40% - Colore 2 11" xfId="107"/>
    <cellStyle name="40% - Colore 2 12" xfId="108"/>
    <cellStyle name="40% - Colore 2 13" xfId="109"/>
    <cellStyle name="40% - Colore 2 14" xfId="110"/>
    <cellStyle name="40% - Colore 2 15" xfId="111"/>
    <cellStyle name="40% - Colore 2 16" xfId="112"/>
    <cellStyle name="40% - Colore 2 2" xfId="113"/>
    <cellStyle name="40% - Colore 2 3" xfId="114"/>
    <cellStyle name="40% - Colore 2 4" xfId="115"/>
    <cellStyle name="40% - Colore 2 5" xfId="116"/>
    <cellStyle name="40% - Colore 2 6" xfId="117"/>
    <cellStyle name="40% - Colore 2 7" xfId="118"/>
    <cellStyle name="40% - Colore 2 8" xfId="119"/>
    <cellStyle name="40% - Colore 2 9" xfId="120"/>
    <cellStyle name="40% - Colore 3 10" xfId="121"/>
    <cellStyle name="40% - Colore 3 11" xfId="122"/>
    <cellStyle name="40% - Colore 3 12" xfId="123"/>
    <cellStyle name="40% - Colore 3 13" xfId="124"/>
    <cellStyle name="40% - Colore 3 14" xfId="125"/>
    <cellStyle name="40% - Colore 3 15" xfId="126"/>
    <cellStyle name="40% - Colore 3 16" xfId="127"/>
    <cellStyle name="40% - Colore 3 2" xfId="128"/>
    <cellStyle name="40% - Colore 3 3" xfId="129"/>
    <cellStyle name="40% - Colore 3 4" xfId="130"/>
    <cellStyle name="40% - Colore 3 5" xfId="131"/>
    <cellStyle name="40% - Colore 3 6" xfId="132"/>
    <cellStyle name="40% - Colore 3 7" xfId="133"/>
    <cellStyle name="40% - Colore 3 8" xfId="134"/>
    <cellStyle name="40% - Colore 3 9" xfId="135"/>
    <cellStyle name="40% - Colore 4 10" xfId="136"/>
    <cellStyle name="40% - Colore 4 11" xfId="137"/>
    <cellStyle name="40% - Colore 4 12" xfId="138"/>
    <cellStyle name="40% - Colore 4 13" xfId="139"/>
    <cellStyle name="40% - Colore 4 14" xfId="140"/>
    <cellStyle name="40% - Colore 4 15" xfId="141"/>
    <cellStyle name="40% - Colore 4 16" xfId="142"/>
    <cellStyle name="40% - Colore 4 2" xfId="143"/>
    <cellStyle name="40% - Colore 4 3" xfId="144"/>
    <cellStyle name="40% - Colore 4 4" xfId="145"/>
    <cellStyle name="40% - Colore 4 5" xfId="146"/>
    <cellStyle name="40% - Colore 4 6" xfId="147"/>
    <cellStyle name="40% - Colore 4 7" xfId="148"/>
    <cellStyle name="40% - Colore 4 8" xfId="149"/>
    <cellStyle name="40% - Colore 4 9" xfId="150"/>
    <cellStyle name="40% - Colore 5 10" xfId="151"/>
    <cellStyle name="40% - Colore 5 11" xfId="152"/>
    <cellStyle name="40% - Colore 5 12" xfId="153"/>
    <cellStyle name="40% - Colore 5 13" xfId="154"/>
    <cellStyle name="40% - Colore 5 14" xfId="155"/>
    <cellStyle name="40% - Colore 5 15" xfId="156"/>
    <cellStyle name="40% - Colore 5 16" xfId="157"/>
    <cellStyle name="40% - Colore 5 2" xfId="158"/>
    <cellStyle name="40% - Colore 5 3" xfId="159"/>
    <cellStyle name="40% - Colore 5 4" xfId="160"/>
    <cellStyle name="40% - Colore 5 5" xfId="161"/>
    <cellStyle name="40% - Colore 5 6" xfId="162"/>
    <cellStyle name="40% - Colore 5 7" xfId="163"/>
    <cellStyle name="40% - Colore 5 8" xfId="164"/>
    <cellStyle name="40% - Colore 5 9" xfId="165"/>
    <cellStyle name="40% - Colore 6 10" xfId="166"/>
    <cellStyle name="40% - Colore 6 11" xfId="167"/>
    <cellStyle name="40% - Colore 6 12" xfId="168"/>
    <cellStyle name="40% - Colore 6 13" xfId="169"/>
    <cellStyle name="40% - Colore 6 14" xfId="170"/>
    <cellStyle name="40% - Colore 6 15" xfId="171"/>
    <cellStyle name="40% - Colore 6 16" xfId="172"/>
    <cellStyle name="40% - Colore 6 2" xfId="173"/>
    <cellStyle name="40% - Colore 6 3" xfId="174"/>
    <cellStyle name="40% - Colore 6 4" xfId="175"/>
    <cellStyle name="40% - Colore 6 5" xfId="176"/>
    <cellStyle name="40% - Colore 6 6" xfId="177"/>
    <cellStyle name="40% - Colore 6 7" xfId="178"/>
    <cellStyle name="40% - Colore 6 8" xfId="179"/>
    <cellStyle name="40% - Colore 6 9" xfId="180"/>
    <cellStyle name="60% - Colore 1 10" xfId="181"/>
    <cellStyle name="60% - Colore 1 11" xfId="182"/>
    <cellStyle name="60% - Colore 1 12" xfId="183"/>
    <cellStyle name="60% - Colore 1 13" xfId="184"/>
    <cellStyle name="60% - Colore 1 14" xfId="185"/>
    <cellStyle name="60% - Colore 1 15" xfId="186"/>
    <cellStyle name="60% - Colore 1 16" xfId="187"/>
    <cellStyle name="60% - Colore 1 2" xfId="188"/>
    <cellStyle name="60% - Colore 1 3" xfId="189"/>
    <cellStyle name="60% - Colore 1 4" xfId="190"/>
    <cellStyle name="60% - Colore 1 5" xfId="191"/>
    <cellStyle name="60% - Colore 1 6" xfId="192"/>
    <cellStyle name="60% - Colore 1 7" xfId="193"/>
    <cellStyle name="60% - Colore 1 8" xfId="194"/>
    <cellStyle name="60% - Colore 1 9" xfId="195"/>
    <cellStyle name="60% - Colore 2 10" xfId="196"/>
    <cellStyle name="60% - Colore 2 11" xfId="197"/>
    <cellStyle name="60% - Colore 2 12" xfId="198"/>
    <cellStyle name="60% - Colore 2 13" xfId="199"/>
    <cellStyle name="60% - Colore 2 14" xfId="200"/>
    <cellStyle name="60% - Colore 2 15" xfId="201"/>
    <cellStyle name="60% - Colore 2 16" xfId="202"/>
    <cellStyle name="60% - Colore 2 2" xfId="203"/>
    <cellStyle name="60% - Colore 2 3" xfId="204"/>
    <cellStyle name="60% - Colore 2 4" xfId="205"/>
    <cellStyle name="60% - Colore 2 5" xfId="206"/>
    <cellStyle name="60% - Colore 2 6" xfId="207"/>
    <cellStyle name="60% - Colore 2 7" xfId="208"/>
    <cellStyle name="60% - Colore 2 8" xfId="209"/>
    <cellStyle name="60% - Colore 2 9" xfId="210"/>
    <cellStyle name="60% - Colore 3 10" xfId="211"/>
    <cellStyle name="60% - Colore 3 11" xfId="212"/>
    <cellStyle name="60% - Colore 3 12" xfId="213"/>
    <cellStyle name="60% - Colore 3 13" xfId="214"/>
    <cellStyle name="60% - Colore 3 14" xfId="215"/>
    <cellStyle name="60% - Colore 3 15" xfId="216"/>
    <cellStyle name="60% - Colore 3 16" xfId="217"/>
    <cellStyle name="60% - Colore 3 2" xfId="218"/>
    <cellStyle name="60% - Colore 3 3" xfId="219"/>
    <cellStyle name="60% - Colore 3 4" xfId="220"/>
    <cellStyle name="60% - Colore 3 5" xfId="221"/>
    <cellStyle name="60% - Colore 3 6" xfId="222"/>
    <cellStyle name="60% - Colore 3 7" xfId="223"/>
    <cellStyle name="60% - Colore 3 8" xfId="224"/>
    <cellStyle name="60% - Colore 3 9" xfId="225"/>
    <cellStyle name="60% - Colore 4 10" xfId="226"/>
    <cellStyle name="60% - Colore 4 11" xfId="227"/>
    <cellStyle name="60% - Colore 4 12" xfId="228"/>
    <cellStyle name="60% - Colore 4 13" xfId="229"/>
    <cellStyle name="60% - Colore 4 14" xfId="230"/>
    <cellStyle name="60% - Colore 4 15" xfId="231"/>
    <cellStyle name="60% - Colore 4 16" xfId="232"/>
    <cellStyle name="60% - Colore 4 2" xfId="233"/>
    <cellStyle name="60% - Colore 4 3" xfId="234"/>
    <cellStyle name="60% - Colore 4 4" xfId="235"/>
    <cellStyle name="60% - Colore 4 5" xfId="236"/>
    <cellStyle name="60% - Colore 4 6" xfId="237"/>
    <cellStyle name="60% - Colore 4 7" xfId="238"/>
    <cellStyle name="60% - Colore 4 8" xfId="239"/>
    <cellStyle name="60% - Colore 4 9" xfId="240"/>
    <cellStyle name="60% - Colore 5 10" xfId="241"/>
    <cellStyle name="60% - Colore 5 11" xfId="242"/>
    <cellStyle name="60% - Colore 5 12" xfId="243"/>
    <cellStyle name="60% - Colore 5 13" xfId="244"/>
    <cellStyle name="60% - Colore 5 14" xfId="245"/>
    <cellStyle name="60% - Colore 5 15" xfId="246"/>
    <cellStyle name="60% - Colore 5 16" xfId="247"/>
    <cellStyle name="60% - Colore 5 2" xfId="248"/>
    <cellStyle name="60% - Colore 5 3" xfId="249"/>
    <cellStyle name="60% - Colore 5 4" xfId="250"/>
    <cellStyle name="60% - Colore 5 5" xfId="251"/>
    <cellStyle name="60% - Colore 5 6" xfId="252"/>
    <cellStyle name="60% - Colore 5 7" xfId="253"/>
    <cellStyle name="60% - Colore 5 8" xfId="254"/>
    <cellStyle name="60% - Colore 5 9" xfId="255"/>
    <cellStyle name="60% - Colore 6 10" xfId="256"/>
    <cellStyle name="60% - Colore 6 11" xfId="257"/>
    <cellStyle name="60% - Colore 6 12" xfId="258"/>
    <cellStyle name="60% - Colore 6 13" xfId="259"/>
    <cellStyle name="60% - Colore 6 14" xfId="260"/>
    <cellStyle name="60% - Colore 6 15" xfId="261"/>
    <cellStyle name="60% - Colore 6 16" xfId="262"/>
    <cellStyle name="60% - Colore 6 2" xfId="263"/>
    <cellStyle name="60% - Colore 6 3" xfId="264"/>
    <cellStyle name="60% - Colore 6 4" xfId="265"/>
    <cellStyle name="60% - Colore 6 5" xfId="266"/>
    <cellStyle name="60% - Colore 6 6" xfId="267"/>
    <cellStyle name="60% - Colore 6 7" xfId="268"/>
    <cellStyle name="60% - Colore 6 8" xfId="269"/>
    <cellStyle name="60% - Colore 6 9" xfId="270"/>
    <cellStyle name="Calcolo 10" xfId="271"/>
    <cellStyle name="Calcolo 11" xfId="272"/>
    <cellStyle name="Calcolo 12" xfId="273"/>
    <cellStyle name="Calcolo 13" xfId="274"/>
    <cellStyle name="Calcolo 14" xfId="275"/>
    <cellStyle name="Calcolo 15" xfId="276"/>
    <cellStyle name="Calcolo 16" xfId="277"/>
    <cellStyle name="Calcolo 2" xfId="278"/>
    <cellStyle name="Calcolo 3" xfId="279"/>
    <cellStyle name="Calcolo 4" xfId="280"/>
    <cellStyle name="Calcolo 5" xfId="281"/>
    <cellStyle name="Calcolo 6" xfId="282"/>
    <cellStyle name="Calcolo 7" xfId="283"/>
    <cellStyle name="Calcolo 8" xfId="284"/>
    <cellStyle name="Calcolo 9" xfId="285"/>
    <cellStyle name="Cella collegata 10" xfId="286"/>
    <cellStyle name="Cella collegata 11" xfId="287"/>
    <cellStyle name="Cella collegata 12" xfId="288"/>
    <cellStyle name="Cella collegata 13" xfId="289"/>
    <cellStyle name="Cella collegata 14" xfId="290"/>
    <cellStyle name="Cella collegata 15" xfId="291"/>
    <cellStyle name="Cella collegata 16" xfId="292"/>
    <cellStyle name="Cella collegata 2" xfId="293"/>
    <cellStyle name="Cella collegata 3" xfId="294"/>
    <cellStyle name="Cella collegata 4" xfId="295"/>
    <cellStyle name="Cella collegata 5" xfId="296"/>
    <cellStyle name="Cella collegata 6" xfId="297"/>
    <cellStyle name="Cella collegata 7" xfId="298"/>
    <cellStyle name="Cella collegata 8" xfId="299"/>
    <cellStyle name="Cella collegata 9" xfId="300"/>
    <cellStyle name="Cella da controllare 10" xfId="301"/>
    <cellStyle name="Cella da controllare 11" xfId="302"/>
    <cellStyle name="Cella da controllare 12" xfId="303"/>
    <cellStyle name="Cella da controllare 13" xfId="304"/>
    <cellStyle name="Cella da controllare 14" xfId="305"/>
    <cellStyle name="Cella da controllare 15" xfId="306"/>
    <cellStyle name="Cella da controllare 16" xfId="307"/>
    <cellStyle name="Cella da controllare 2" xfId="308"/>
    <cellStyle name="Cella da controllare 3" xfId="309"/>
    <cellStyle name="Cella da controllare 4" xfId="310"/>
    <cellStyle name="Cella da controllare 5" xfId="311"/>
    <cellStyle name="Cella da controllare 6" xfId="312"/>
    <cellStyle name="Cella da controllare 7" xfId="313"/>
    <cellStyle name="Cella da controllare 8" xfId="314"/>
    <cellStyle name="Cella da controllare 9" xfId="315"/>
    <cellStyle name="Colore 1 10" xfId="316"/>
    <cellStyle name="Colore 1 11" xfId="317"/>
    <cellStyle name="Colore 1 12" xfId="318"/>
    <cellStyle name="Colore 1 13" xfId="319"/>
    <cellStyle name="Colore 1 14" xfId="320"/>
    <cellStyle name="Colore 1 15" xfId="321"/>
    <cellStyle name="Colore 1 16" xfId="322"/>
    <cellStyle name="Colore 1 2" xfId="323"/>
    <cellStyle name="Colore 1 3" xfId="324"/>
    <cellStyle name="Colore 1 4" xfId="325"/>
    <cellStyle name="Colore 1 5" xfId="326"/>
    <cellStyle name="Colore 1 6" xfId="327"/>
    <cellStyle name="Colore 1 7" xfId="328"/>
    <cellStyle name="Colore 1 8" xfId="329"/>
    <cellStyle name="Colore 1 9" xfId="330"/>
    <cellStyle name="Colore 2 10" xfId="331"/>
    <cellStyle name="Colore 2 11" xfId="332"/>
    <cellStyle name="Colore 2 12" xfId="333"/>
    <cellStyle name="Colore 2 13" xfId="334"/>
    <cellStyle name="Colore 2 14" xfId="335"/>
    <cellStyle name="Colore 2 15" xfId="336"/>
    <cellStyle name="Colore 2 16" xfId="337"/>
    <cellStyle name="Colore 2 2" xfId="338"/>
    <cellStyle name="Colore 2 3" xfId="339"/>
    <cellStyle name="Colore 2 4" xfId="340"/>
    <cellStyle name="Colore 2 5" xfId="341"/>
    <cellStyle name="Colore 2 6" xfId="342"/>
    <cellStyle name="Colore 2 7" xfId="343"/>
    <cellStyle name="Colore 2 8" xfId="344"/>
    <cellStyle name="Colore 2 9" xfId="345"/>
    <cellStyle name="Colore 3 10" xfId="346"/>
    <cellStyle name="Colore 3 11" xfId="347"/>
    <cellStyle name="Colore 3 12" xfId="348"/>
    <cellStyle name="Colore 3 13" xfId="349"/>
    <cellStyle name="Colore 3 14" xfId="350"/>
    <cellStyle name="Colore 3 15" xfId="351"/>
    <cellStyle name="Colore 3 16" xfId="352"/>
    <cellStyle name="Colore 3 2" xfId="353"/>
    <cellStyle name="Colore 3 3" xfId="354"/>
    <cellStyle name="Colore 3 4" xfId="355"/>
    <cellStyle name="Colore 3 5" xfId="356"/>
    <cellStyle name="Colore 3 6" xfId="357"/>
    <cellStyle name="Colore 3 7" xfId="358"/>
    <cellStyle name="Colore 3 8" xfId="359"/>
    <cellStyle name="Colore 3 9" xfId="360"/>
    <cellStyle name="Colore 4 10" xfId="361"/>
    <cellStyle name="Colore 4 11" xfId="362"/>
    <cellStyle name="Colore 4 12" xfId="363"/>
    <cellStyle name="Colore 4 13" xfId="364"/>
    <cellStyle name="Colore 4 14" xfId="365"/>
    <cellStyle name="Colore 4 15" xfId="366"/>
    <cellStyle name="Colore 4 16" xfId="367"/>
    <cellStyle name="Colore 4 2" xfId="368"/>
    <cellStyle name="Colore 4 3" xfId="369"/>
    <cellStyle name="Colore 4 4" xfId="370"/>
    <cellStyle name="Colore 4 5" xfId="371"/>
    <cellStyle name="Colore 4 6" xfId="372"/>
    <cellStyle name="Colore 4 7" xfId="373"/>
    <cellStyle name="Colore 4 8" xfId="374"/>
    <cellStyle name="Colore 4 9" xfId="375"/>
    <cellStyle name="Colore 5 10" xfId="376"/>
    <cellStyle name="Colore 5 11" xfId="377"/>
    <cellStyle name="Colore 5 12" xfId="378"/>
    <cellStyle name="Colore 5 13" xfId="379"/>
    <cellStyle name="Colore 5 14" xfId="380"/>
    <cellStyle name="Colore 5 15" xfId="381"/>
    <cellStyle name="Colore 5 16" xfId="382"/>
    <cellStyle name="Colore 5 2" xfId="383"/>
    <cellStyle name="Colore 5 3" xfId="384"/>
    <cellStyle name="Colore 5 4" xfId="385"/>
    <cellStyle name="Colore 5 5" xfId="386"/>
    <cellStyle name="Colore 5 6" xfId="387"/>
    <cellStyle name="Colore 5 7" xfId="388"/>
    <cellStyle name="Colore 5 8" xfId="389"/>
    <cellStyle name="Colore 5 9" xfId="390"/>
    <cellStyle name="Colore 6 10" xfId="391"/>
    <cellStyle name="Colore 6 11" xfId="392"/>
    <cellStyle name="Colore 6 12" xfId="393"/>
    <cellStyle name="Colore 6 13" xfId="394"/>
    <cellStyle name="Colore 6 14" xfId="395"/>
    <cellStyle name="Colore 6 15" xfId="396"/>
    <cellStyle name="Colore 6 16" xfId="397"/>
    <cellStyle name="Colore 6 2" xfId="398"/>
    <cellStyle name="Colore 6 3" xfId="399"/>
    <cellStyle name="Colore 6 4" xfId="400"/>
    <cellStyle name="Colore 6 5" xfId="401"/>
    <cellStyle name="Colore 6 6" xfId="402"/>
    <cellStyle name="Colore 6 7" xfId="403"/>
    <cellStyle name="Colore 6 8" xfId="404"/>
    <cellStyle name="Colore 6 9" xfId="405"/>
    <cellStyle name="Comma,0" xfId="406"/>
    <cellStyle name="Currency,0" xfId="407"/>
    <cellStyle name="Currency,2" xfId="408"/>
    <cellStyle name="Euro" xfId="409"/>
    <cellStyle name="Euro 10" xfId="410"/>
    <cellStyle name="Euro 11" xfId="411"/>
    <cellStyle name="Euro 12" xfId="412"/>
    <cellStyle name="Euro 13" xfId="413"/>
    <cellStyle name="Euro 14" xfId="414"/>
    <cellStyle name="Euro 15" xfId="415"/>
    <cellStyle name="Euro 2" xfId="416"/>
    <cellStyle name="Euro 3" xfId="417"/>
    <cellStyle name="Euro 4" xfId="418"/>
    <cellStyle name="Euro 5" xfId="419"/>
    <cellStyle name="Euro 6" xfId="420"/>
    <cellStyle name="Euro 7" xfId="421"/>
    <cellStyle name="Euro 8" xfId="422"/>
    <cellStyle name="Euro 9" xfId="423"/>
    <cellStyle name="Fixed" xfId="424"/>
    <cellStyle name="Fixed 1" xfId="425"/>
    <cellStyle name="Fixed,2" xfId="426"/>
    <cellStyle name="Fixed,4" xfId="427"/>
    <cellStyle name="Input 10" xfId="428"/>
    <cellStyle name="Input 11" xfId="429"/>
    <cellStyle name="Input 12" xfId="430"/>
    <cellStyle name="Input 13" xfId="431"/>
    <cellStyle name="Input 14" xfId="432"/>
    <cellStyle name="Input 15" xfId="433"/>
    <cellStyle name="Input 16" xfId="434"/>
    <cellStyle name="Input 2" xfId="435"/>
    <cellStyle name="Input 3" xfId="436"/>
    <cellStyle name="Input 4" xfId="437"/>
    <cellStyle name="Input 5" xfId="438"/>
    <cellStyle name="Input 6" xfId="439"/>
    <cellStyle name="Input 7" xfId="440"/>
    <cellStyle name="Input 8" xfId="441"/>
    <cellStyle name="Input 9" xfId="442"/>
    <cellStyle name="Migliaia" xfId="443" builtinId="3"/>
    <cellStyle name="Neutrale 10" xfId="444"/>
    <cellStyle name="Neutrale 11" xfId="445"/>
    <cellStyle name="Neutrale 12" xfId="446"/>
    <cellStyle name="Neutrale 13" xfId="447"/>
    <cellStyle name="Neutrale 14" xfId="448"/>
    <cellStyle name="Neutrale 15" xfId="449"/>
    <cellStyle name="Neutrale 16" xfId="450"/>
    <cellStyle name="Neutrale 2" xfId="451"/>
    <cellStyle name="Neutrale 3" xfId="452"/>
    <cellStyle name="Neutrale 4" xfId="453"/>
    <cellStyle name="Neutrale 5" xfId="454"/>
    <cellStyle name="Neutrale 6" xfId="455"/>
    <cellStyle name="Neutrale 7" xfId="456"/>
    <cellStyle name="Neutrale 8" xfId="457"/>
    <cellStyle name="Neutrale 9" xfId="458"/>
    <cellStyle name="Normale" xfId="0" builtinId="0"/>
    <cellStyle name="Normale 10" xfId="459"/>
    <cellStyle name="Normale 11" xfId="460"/>
    <cellStyle name="Normale 12" xfId="461"/>
    <cellStyle name="Normale 16" xfId="462"/>
    <cellStyle name="Normale 2" xfId="463"/>
    <cellStyle name="Normale 2 10" xfId="464"/>
    <cellStyle name="Normale 2 11" xfId="465"/>
    <cellStyle name="Normale 2 12" xfId="466"/>
    <cellStyle name="Normale 2 13" xfId="467"/>
    <cellStyle name="Normale 2 14" xfId="468"/>
    <cellStyle name="Normale 2 15" xfId="469"/>
    <cellStyle name="Normale 2 16" xfId="470"/>
    <cellStyle name="Normale 2 2" xfId="471"/>
    <cellStyle name="Normale 2 3" xfId="472"/>
    <cellStyle name="Normale 2 4" xfId="473"/>
    <cellStyle name="Normale 2 5" xfId="474"/>
    <cellStyle name="Normale 2 6" xfId="475"/>
    <cellStyle name="Normale 2 7" xfId="476"/>
    <cellStyle name="Normale 2 8" xfId="477"/>
    <cellStyle name="Normale 2 9" xfId="478"/>
    <cellStyle name="Normale 3 2" xfId="479"/>
    <cellStyle name="Normale 3 3" xfId="480"/>
    <cellStyle name="Normale 6" xfId="481"/>
    <cellStyle name="Normale 7" xfId="482"/>
    <cellStyle name="Normale 8" xfId="483"/>
    <cellStyle name="Nota 10" xfId="484"/>
    <cellStyle name="Nota 11" xfId="485"/>
    <cellStyle name="Nota 12" xfId="486"/>
    <cellStyle name="Nota 13" xfId="487"/>
    <cellStyle name="Nota 14" xfId="488"/>
    <cellStyle name="Nota 15" xfId="489"/>
    <cellStyle name="Nota 16" xfId="490"/>
    <cellStyle name="Nota 2" xfId="491"/>
    <cellStyle name="Nota 3" xfId="492"/>
    <cellStyle name="Nota 4" xfId="493"/>
    <cellStyle name="Nota 5" xfId="494"/>
    <cellStyle name="Nota 6" xfId="495"/>
    <cellStyle name="Nota 7" xfId="496"/>
    <cellStyle name="Nota 8" xfId="497"/>
    <cellStyle name="Nota 9" xfId="498"/>
    <cellStyle name="Output 10" xfId="499"/>
    <cellStyle name="Output 11" xfId="500"/>
    <cellStyle name="Output 12" xfId="501"/>
    <cellStyle name="Output 13" xfId="502"/>
    <cellStyle name="Output 14" xfId="503"/>
    <cellStyle name="Output 15" xfId="504"/>
    <cellStyle name="Output 16" xfId="505"/>
    <cellStyle name="Output 2" xfId="506"/>
    <cellStyle name="Output 3" xfId="507"/>
    <cellStyle name="Output 4" xfId="508"/>
    <cellStyle name="Output 5" xfId="509"/>
    <cellStyle name="Output 6" xfId="510"/>
    <cellStyle name="Output 7" xfId="511"/>
    <cellStyle name="Output 8" xfId="512"/>
    <cellStyle name="Output 9" xfId="513"/>
    <cellStyle name="Percent,0" xfId="514"/>
    <cellStyle name="Percent,2" xfId="515"/>
    <cellStyle name="Percentuale 2" xfId="516"/>
    <cellStyle name="Percentuale 2 10" xfId="517"/>
    <cellStyle name="Percentuale 2 11" xfId="518"/>
    <cellStyle name="Percentuale 2 12" xfId="519"/>
    <cellStyle name="Percentuale 2 13" xfId="520"/>
    <cellStyle name="Percentuale 2 14" xfId="521"/>
    <cellStyle name="Percentuale 2 15" xfId="522"/>
    <cellStyle name="Percentuale 2 16" xfId="523"/>
    <cellStyle name="Percentuale 2 2" xfId="524"/>
    <cellStyle name="Percentuale 2 3" xfId="525"/>
    <cellStyle name="Percentuale 2 4" xfId="526"/>
    <cellStyle name="Percentuale 2 5" xfId="527"/>
    <cellStyle name="Percentuale 2 6" xfId="528"/>
    <cellStyle name="Percentuale 2 7" xfId="529"/>
    <cellStyle name="Percentuale 2 8" xfId="530"/>
    <cellStyle name="Percentuale 2 9" xfId="531"/>
    <cellStyle name="Shaded" xfId="532"/>
    <cellStyle name="Testo avviso 10" xfId="533"/>
    <cellStyle name="Testo avviso 11" xfId="534"/>
    <cellStyle name="Testo avviso 12" xfId="535"/>
    <cellStyle name="Testo avviso 13" xfId="536"/>
    <cellStyle name="Testo avviso 14" xfId="537"/>
    <cellStyle name="Testo avviso 15" xfId="538"/>
    <cellStyle name="Testo avviso 16" xfId="539"/>
    <cellStyle name="Testo avviso 2" xfId="540"/>
    <cellStyle name="Testo avviso 3" xfId="541"/>
    <cellStyle name="Testo avviso 4" xfId="542"/>
    <cellStyle name="Testo avviso 5" xfId="543"/>
    <cellStyle name="Testo avviso 6" xfId="544"/>
    <cellStyle name="Testo avviso 7" xfId="545"/>
    <cellStyle name="Testo avviso 8" xfId="546"/>
    <cellStyle name="Testo avviso 9" xfId="547"/>
    <cellStyle name="Testo descrittivo 10" xfId="548"/>
    <cellStyle name="Testo descrittivo 11" xfId="549"/>
    <cellStyle name="Testo descrittivo 12" xfId="550"/>
    <cellStyle name="Testo descrittivo 13" xfId="551"/>
    <cellStyle name="Testo descrittivo 14" xfId="552"/>
    <cellStyle name="Testo descrittivo 15" xfId="553"/>
    <cellStyle name="Testo descrittivo 16" xfId="554"/>
    <cellStyle name="Testo descrittivo 2" xfId="555"/>
    <cellStyle name="Testo descrittivo 3" xfId="556"/>
    <cellStyle name="Testo descrittivo 4" xfId="557"/>
    <cellStyle name="Testo descrittivo 5" xfId="558"/>
    <cellStyle name="Testo descrittivo 6" xfId="559"/>
    <cellStyle name="Testo descrittivo 7" xfId="560"/>
    <cellStyle name="Testo descrittivo 8" xfId="561"/>
    <cellStyle name="Testo descrittivo 9" xfId="562"/>
    <cellStyle name="Titles, 14P" xfId="563"/>
    <cellStyle name="Titles, 16P" xfId="564"/>
    <cellStyle name="Titolo 1 10" xfId="565"/>
    <cellStyle name="Titolo 1 11" xfId="566"/>
    <cellStyle name="Titolo 1 12" xfId="567"/>
    <cellStyle name="Titolo 1 13" xfId="568"/>
    <cellStyle name="Titolo 1 14" xfId="569"/>
    <cellStyle name="Titolo 1 15" xfId="570"/>
    <cellStyle name="Titolo 1 16" xfId="571"/>
    <cellStyle name="Titolo 1 2" xfId="572"/>
    <cellStyle name="Titolo 1 3" xfId="573"/>
    <cellStyle name="Titolo 1 4" xfId="574"/>
    <cellStyle name="Titolo 1 5" xfId="575"/>
    <cellStyle name="Titolo 1 6" xfId="576"/>
    <cellStyle name="Titolo 1 7" xfId="577"/>
    <cellStyle name="Titolo 1 8" xfId="578"/>
    <cellStyle name="Titolo 1 9" xfId="579"/>
    <cellStyle name="Titolo 10" xfId="580"/>
    <cellStyle name="Titolo 11" xfId="581"/>
    <cellStyle name="Titolo 12" xfId="582"/>
    <cellStyle name="Titolo 13" xfId="583"/>
    <cellStyle name="Titolo 14" xfId="584"/>
    <cellStyle name="Titolo 15" xfId="585"/>
    <cellStyle name="Titolo 16" xfId="586"/>
    <cellStyle name="Titolo 17" xfId="587"/>
    <cellStyle name="Titolo 18" xfId="588"/>
    <cellStyle name="Titolo 19" xfId="589"/>
    <cellStyle name="Titolo 2 10" xfId="590"/>
    <cellStyle name="Titolo 2 11" xfId="591"/>
    <cellStyle name="Titolo 2 12" xfId="592"/>
    <cellStyle name="Titolo 2 13" xfId="593"/>
    <cellStyle name="Titolo 2 14" xfId="594"/>
    <cellStyle name="Titolo 2 15" xfId="595"/>
    <cellStyle name="Titolo 2 16" xfId="596"/>
    <cellStyle name="Titolo 2 2" xfId="597"/>
    <cellStyle name="Titolo 2 3" xfId="598"/>
    <cellStyle name="Titolo 2 4" xfId="599"/>
    <cellStyle name="Titolo 2 5" xfId="600"/>
    <cellStyle name="Titolo 2 6" xfId="601"/>
    <cellStyle name="Titolo 2 7" xfId="602"/>
    <cellStyle name="Titolo 2 8" xfId="603"/>
    <cellStyle name="Titolo 2 9" xfId="604"/>
    <cellStyle name="Titolo 3 10" xfId="605"/>
    <cellStyle name="Titolo 3 11" xfId="606"/>
    <cellStyle name="Titolo 3 12" xfId="607"/>
    <cellStyle name="Titolo 3 13" xfId="608"/>
    <cellStyle name="Titolo 3 14" xfId="609"/>
    <cellStyle name="Titolo 3 15" xfId="610"/>
    <cellStyle name="Titolo 3 16" xfId="611"/>
    <cellStyle name="Titolo 3 2" xfId="612"/>
    <cellStyle name="Titolo 3 3" xfId="613"/>
    <cellStyle name="Titolo 3 4" xfId="614"/>
    <cellStyle name="Titolo 3 5" xfId="615"/>
    <cellStyle name="Titolo 3 6" xfId="616"/>
    <cellStyle name="Titolo 3 7" xfId="617"/>
    <cellStyle name="Titolo 3 8" xfId="618"/>
    <cellStyle name="Titolo 3 9" xfId="619"/>
    <cellStyle name="Titolo 4 10" xfId="620"/>
    <cellStyle name="Titolo 4 11" xfId="621"/>
    <cellStyle name="Titolo 4 12" xfId="622"/>
    <cellStyle name="Titolo 4 13" xfId="623"/>
    <cellStyle name="Titolo 4 14" xfId="624"/>
    <cellStyle name="Titolo 4 15" xfId="625"/>
    <cellStyle name="Titolo 4 16" xfId="626"/>
    <cellStyle name="Titolo 4 2" xfId="627"/>
    <cellStyle name="Titolo 4 3" xfId="628"/>
    <cellStyle name="Titolo 4 4" xfId="629"/>
    <cellStyle name="Titolo 4 5" xfId="630"/>
    <cellStyle name="Titolo 4 6" xfId="631"/>
    <cellStyle name="Titolo 4 7" xfId="632"/>
    <cellStyle name="Titolo 4 8" xfId="633"/>
    <cellStyle name="Titolo 4 9" xfId="634"/>
    <cellStyle name="Titolo 5" xfId="635"/>
    <cellStyle name="Titolo 6" xfId="636"/>
    <cellStyle name="Titolo 7" xfId="637"/>
    <cellStyle name="Titolo 8" xfId="638"/>
    <cellStyle name="Titolo 9" xfId="639"/>
    <cellStyle name="Totale 10" xfId="640"/>
    <cellStyle name="Totale 11" xfId="641"/>
    <cellStyle name="Totale 12" xfId="642"/>
    <cellStyle name="Totale 13" xfId="643"/>
    <cellStyle name="Totale 14" xfId="644"/>
    <cellStyle name="Totale 15" xfId="645"/>
    <cellStyle name="Totale 16" xfId="646"/>
    <cellStyle name="Totale 2" xfId="647"/>
    <cellStyle name="Totale 3" xfId="648"/>
    <cellStyle name="Totale 4" xfId="649"/>
    <cellStyle name="Totale 5" xfId="650"/>
    <cellStyle name="Totale 6" xfId="651"/>
    <cellStyle name="Totale 7" xfId="652"/>
    <cellStyle name="Totale 8" xfId="653"/>
    <cellStyle name="Totale 9" xfId="654"/>
    <cellStyle name="Un-Shaded" xfId="655"/>
    <cellStyle name="Valore non valido 10" xfId="656"/>
    <cellStyle name="Valore non valido 11" xfId="657"/>
    <cellStyle name="Valore non valido 12" xfId="658"/>
    <cellStyle name="Valore non valido 13" xfId="659"/>
    <cellStyle name="Valore non valido 14" xfId="660"/>
    <cellStyle name="Valore non valido 15" xfId="661"/>
    <cellStyle name="Valore non valido 16" xfId="662"/>
    <cellStyle name="Valore non valido 2" xfId="663"/>
    <cellStyle name="Valore non valido 3" xfId="664"/>
    <cellStyle name="Valore non valido 4" xfId="665"/>
    <cellStyle name="Valore non valido 5" xfId="666"/>
    <cellStyle name="Valore non valido 6" xfId="667"/>
    <cellStyle name="Valore non valido 7" xfId="668"/>
    <cellStyle name="Valore non valido 8" xfId="669"/>
    <cellStyle name="Valore non valido 9" xfId="670"/>
    <cellStyle name="Valore valido 10" xfId="671"/>
    <cellStyle name="Valore valido 11" xfId="672"/>
    <cellStyle name="Valore valido 12" xfId="673"/>
    <cellStyle name="Valore valido 13" xfId="674"/>
    <cellStyle name="Valore valido 14" xfId="675"/>
    <cellStyle name="Valore valido 15" xfId="676"/>
    <cellStyle name="Valore valido 16" xfId="677"/>
    <cellStyle name="Valore valido 2" xfId="678"/>
    <cellStyle name="Valore valido 3" xfId="679"/>
    <cellStyle name="Valore valido 4" xfId="680"/>
    <cellStyle name="Valore valido 5" xfId="681"/>
    <cellStyle name="Valore valido 6" xfId="682"/>
    <cellStyle name="Valore valido 7" xfId="683"/>
    <cellStyle name="Valore valido 8" xfId="684"/>
    <cellStyle name="Valore valido 9" xfId="685"/>
    <cellStyle name="Währung" xfId="686"/>
    <cellStyle name="Währung 10" xfId="687"/>
    <cellStyle name="Währung 11" xfId="688"/>
    <cellStyle name="Währung 12" xfId="689"/>
    <cellStyle name="Währung 13" xfId="690"/>
    <cellStyle name="Währung 14" xfId="691"/>
    <cellStyle name="Währung 15" xfId="692"/>
    <cellStyle name="Währung 2" xfId="693"/>
    <cellStyle name="Währung 3" xfId="694"/>
    <cellStyle name="Währung 4" xfId="695"/>
    <cellStyle name="Währung 5" xfId="696"/>
    <cellStyle name="Währung 6" xfId="697"/>
    <cellStyle name="Währung 7" xfId="698"/>
    <cellStyle name="Währung 8" xfId="699"/>
    <cellStyle name="Währung 9" xfId="700"/>
  </cellStyles>
  <dxfs count="7">
    <dxf>
      <font>
        <b/>
        <i val="0"/>
      </font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cumulato annuale</a:t>
            </a:r>
          </a:p>
        </c:rich>
      </c:tx>
      <c:spPr>
        <a:noFill/>
        <a:ln w="25400">
          <a:noFill/>
        </a:ln>
      </c:spPr>
    </c:title>
    <c:view3D>
      <c:hPercent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cash-flow FV tradizionale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Istruzioni!#REF!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cash flow impianto innovativo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Istruzioni!#REF!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107575552"/>
        <c:axId val="107590016"/>
        <c:axId val="0"/>
      </c:bar3DChart>
      <c:catAx>
        <c:axId val="107575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anno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590016"/>
        <c:crosses val="autoZero"/>
        <c:auto val="1"/>
        <c:lblAlgn val="ctr"/>
        <c:lblOffset val="100"/>
        <c:tickLblSkip val="1"/>
        <c:tickMarkSkip val="1"/>
      </c:catAx>
      <c:valAx>
        <c:axId val="107590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euro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57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1266" r="0.7500000000000126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 </a:t>
            </a:r>
            <a:r>
              <a:rPr lang="it-IT" sz="1200" b="1" i="0" baseline="0"/>
              <a:t>CONFRONTO tra consumo, produttività, autoconsumo proprio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 i="0" baseline="0"/>
              <a:t>e accumulo nelle batterie   MEDIO GIORNALIERO         </a:t>
            </a:r>
            <a:endParaRPr lang="it-IT" sz="120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7.9247327315792843E-2"/>
          <c:y val="0.13969906177354002"/>
          <c:w val="0.88774482628923779"/>
          <c:h val="0.46433906337194641"/>
        </c:manualLayout>
      </c:layout>
      <c:barChart>
        <c:barDir val="col"/>
        <c:grouping val="stacked"/>
        <c:ser>
          <c:idx val="0"/>
          <c:order val="1"/>
          <c:tx>
            <c:strRef>
              <c:f>'GUIDA dimensionamento ACCUMULO'!$H$50</c:f>
              <c:strCache>
                <c:ptCount val="1"/>
                <c:pt idx="0">
                  <c:v>AUTOCONSUMO PROPRIO  (kWh)</c:v>
                </c:pt>
              </c:strCache>
            </c:strRef>
          </c:tx>
          <c:val>
            <c:numRef>
              <c:f>'GUIDA dimensionamento ACCUMULO'!$H$51:$H$62</c:f>
              <c:numCache>
                <c:formatCode>0.00</c:formatCode>
                <c:ptCount val="12"/>
                <c:pt idx="0">
                  <c:v>3.2474678159238546</c:v>
                </c:pt>
                <c:pt idx="1">
                  <c:v>3.9774053706038583</c:v>
                </c:pt>
                <c:pt idx="2">
                  <c:v>4.3607157747534364</c:v>
                </c:pt>
                <c:pt idx="3">
                  <c:v>4.4435850524452061</c:v>
                </c:pt>
                <c:pt idx="4">
                  <c:v>4.7705827427965168</c:v>
                </c:pt>
                <c:pt idx="5">
                  <c:v>5.1031797086675423</c:v>
                </c:pt>
                <c:pt idx="6">
                  <c:v>5.2745175395707982</c:v>
                </c:pt>
                <c:pt idx="7">
                  <c:v>5.0393479677427999</c:v>
                </c:pt>
                <c:pt idx="8">
                  <c:v>4.8497564986452764</c:v>
                </c:pt>
                <c:pt idx="9">
                  <c:v>3.8411030065239569</c:v>
                </c:pt>
                <c:pt idx="10">
                  <c:v>3.0549647235560804</c:v>
                </c:pt>
                <c:pt idx="11">
                  <c:v>3.0790416082908507</c:v>
                </c:pt>
              </c:numCache>
            </c:numRef>
          </c:val>
        </c:ser>
        <c:ser>
          <c:idx val="2"/>
          <c:order val="2"/>
          <c:tx>
            <c:strRef>
              <c:f>'GUIDA dimensionamento ACCUMULO'!$M$50</c:f>
              <c:strCache>
                <c:ptCount val="1"/>
                <c:pt idx="0">
                  <c:v>AUTOCONSUMO dovuto
alle BATTERIE (kWh)</c:v>
                </c:pt>
              </c:strCache>
            </c:strRef>
          </c:tx>
          <c:val>
            <c:numRef>
              <c:f>'GUIDA dimensionamento ACCUMULO'!$M$51:$M$62</c:f>
              <c:numCache>
                <c:formatCode>0.00</c:formatCode>
                <c:ptCount val="12"/>
                <c:pt idx="0">
                  <c:v>3.3610755410288191</c:v>
                </c:pt>
                <c:pt idx="1">
                  <c:v>6.1925983662318451</c:v>
                </c:pt>
                <c:pt idx="2">
                  <c:v>7.7519999999999998</c:v>
                </c:pt>
                <c:pt idx="3">
                  <c:v>7.7519999999999998</c:v>
                </c:pt>
                <c:pt idx="4">
                  <c:v>7.7519999999999998</c:v>
                </c:pt>
                <c:pt idx="5">
                  <c:v>7.7519999999999998</c:v>
                </c:pt>
                <c:pt idx="6">
                  <c:v>7.7519999999999998</c:v>
                </c:pt>
                <c:pt idx="7">
                  <c:v>7.7519999999999998</c:v>
                </c:pt>
                <c:pt idx="8">
                  <c:v>7.7519999999999998</c:v>
                </c:pt>
                <c:pt idx="9">
                  <c:v>7.5914537283176298</c:v>
                </c:pt>
                <c:pt idx="10">
                  <c:v>4.5002953482894146</c:v>
                </c:pt>
                <c:pt idx="11">
                  <c:v>3.1867571985443424</c:v>
                </c:pt>
              </c:numCache>
            </c:numRef>
          </c:val>
        </c:ser>
        <c:overlap val="100"/>
        <c:axId val="107682816"/>
        <c:axId val="107692800"/>
      </c:barChart>
      <c:lineChart>
        <c:grouping val="standard"/>
        <c:ser>
          <c:idx val="1"/>
          <c:order val="0"/>
          <c:tx>
            <c:strRef>
              <c:f>'GUIDA dimensionamento ACCUMULO'!$G$50</c:f>
              <c:strCache>
                <c:ptCount val="1"/>
                <c:pt idx="0">
                  <c:v>PRODUZIONE
(kWh)</c:v>
                </c:pt>
              </c:strCache>
            </c:strRef>
          </c:tx>
          <c:trendline>
            <c:trendlineType val="poly"/>
            <c:order val="2"/>
          </c:trendline>
          <c:cat>
            <c:strRef>
              <c:f>'GUIDA dimensionamento ACCUMULO'!$F$51:$F$62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'GUIDA dimensionamento ACCUMULO'!$G$51:$G$62</c:f>
              <c:numCache>
                <c:formatCode>0.00</c:formatCode>
                <c:ptCount val="12"/>
                <c:pt idx="0">
                  <c:v>7.7289018706289472</c:v>
                </c:pt>
                <c:pt idx="1">
                  <c:v>11.122711177794448</c:v>
                </c:pt>
                <c:pt idx="2">
                  <c:v>14.781368245287128</c:v>
                </c:pt>
                <c:pt idx="3">
                  <c:v>16.568494123530879</c:v>
                </c:pt>
                <c:pt idx="4">
                  <c:v>17.787748227379424</c:v>
                </c:pt>
                <c:pt idx="5">
                  <c:v>19.027879969992497</c:v>
                </c:pt>
                <c:pt idx="6">
                  <c:v>19.666735716187109</c:v>
                </c:pt>
                <c:pt idx="7">
                  <c:v>18.789874888076856</c:v>
                </c:pt>
                <c:pt idx="8">
                  <c:v>16.439052763190794</c:v>
                </c:pt>
                <c:pt idx="9">
                  <c:v>12.276051593543546</c:v>
                </c:pt>
                <c:pt idx="10">
                  <c:v>8.5431297824456109</c:v>
                </c:pt>
                <c:pt idx="11">
                  <c:v>7.3280512063499739</c:v>
                </c:pt>
              </c:numCache>
            </c:numRef>
          </c:val>
        </c:ser>
        <c:ser>
          <c:idx val="3"/>
          <c:order val="3"/>
          <c:tx>
            <c:strRef>
              <c:f>'GUIDA dimensionamento ACCUMULO'!$L$50</c:f>
              <c:strCache>
                <c:ptCount val="1"/>
                <c:pt idx="0">
                  <c:v>CONSUMO  (kWh)</c:v>
                </c:pt>
              </c:strCache>
            </c:strRef>
          </c:tx>
          <c:val>
            <c:numRef>
              <c:f>'GUIDA dimensionamento ACCUMULO'!$L$51:$L$62</c:f>
              <c:numCache>
                <c:formatCode>0.00</c:formatCode>
                <c:ptCount val="12"/>
                <c:pt idx="0">
                  <c:v>12.926027397260274</c:v>
                </c:pt>
                <c:pt idx="1">
                  <c:v>12.926027397260274</c:v>
                </c:pt>
                <c:pt idx="2">
                  <c:v>12.926027397260274</c:v>
                </c:pt>
                <c:pt idx="3">
                  <c:v>12.926027397260274</c:v>
                </c:pt>
                <c:pt idx="4">
                  <c:v>12.926027397260274</c:v>
                </c:pt>
                <c:pt idx="5">
                  <c:v>12.926027397260274</c:v>
                </c:pt>
                <c:pt idx="6">
                  <c:v>12.926027397260274</c:v>
                </c:pt>
                <c:pt idx="7">
                  <c:v>12.926027397260274</c:v>
                </c:pt>
                <c:pt idx="8">
                  <c:v>12.926027397260274</c:v>
                </c:pt>
                <c:pt idx="9">
                  <c:v>12.926027397260274</c:v>
                </c:pt>
                <c:pt idx="10">
                  <c:v>12.926027397260274</c:v>
                </c:pt>
                <c:pt idx="11">
                  <c:v>12.926027397260274</c:v>
                </c:pt>
              </c:numCache>
            </c:numRef>
          </c:val>
        </c:ser>
        <c:ser>
          <c:idx val="4"/>
          <c:order val="4"/>
          <c:tx>
            <c:strRef>
              <c:f>'GUIDA dimensionamento ACCUMULO'!$N$50</c:f>
              <c:strCache>
                <c:ptCount val="1"/>
                <c:pt idx="0">
                  <c:v>AUTOCONSUMO TOTALE  (kWh)</c:v>
                </c:pt>
              </c:strCache>
            </c:strRef>
          </c:tx>
          <c:val>
            <c:numRef>
              <c:f>'GUIDA dimensionamento ACCUMULO'!$N$51:$N$62</c:f>
              <c:numCache>
                <c:formatCode>0.00</c:formatCode>
                <c:ptCount val="12"/>
                <c:pt idx="0">
                  <c:v>6.6085433569526737</c:v>
                </c:pt>
                <c:pt idx="1">
                  <c:v>10.170003736835703</c:v>
                </c:pt>
                <c:pt idx="2">
                  <c:v>12.112715774753436</c:v>
                </c:pt>
                <c:pt idx="3">
                  <c:v>12.195585052445207</c:v>
                </c:pt>
                <c:pt idx="4">
                  <c:v>12.522582742796516</c:v>
                </c:pt>
                <c:pt idx="5">
                  <c:v>12.855179708667542</c:v>
                </c:pt>
                <c:pt idx="6">
                  <c:v>13.026517539570797</c:v>
                </c:pt>
                <c:pt idx="7">
                  <c:v>12.7913479677428</c:v>
                </c:pt>
                <c:pt idx="8">
                  <c:v>12.601756498645276</c:v>
                </c:pt>
                <c:pt idx="9">
                  <c:v>11.432556734841587</c:v>
                </c:pt>
                <c:pt idx="10">
                  <c:v>7.5552600718454954</c:v>
                </c:pt>
                <c:pt idx="11">
                  <c:v>6.2657988068351926</c:v>
                </c:pt>
              </c:numCache>
            </c:numRef>
          </c:val>
        </c:ser>
        <c:marker val="1"/>
        <c:axId val="107682816"/>
        <c:axId val="107692800"/>
      </c:lineChart>
      <c:catAx>
        <c:axId val="107682816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07692800"/>
        <c:crosses val="autoZero"/>
        <c:auto val="1"/>
        <c:lblAlgn val="ctr"/>
        <c:lblOffset val="100"/>
      </c:catAx>
      <c:valAx>
        <c:axId val="10769280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07682816"/>
        <c:crosses val="autoZero"/>
        <c:crossBetween val="between"/>
      </c:valAx>
      <c:spPr>
        <a:solidFill>
          <a:schemeClr val="bg2"/>
        </a:solidFill>
      </c:spPr>
    </c:plotArea>
    <c:legend>
      <c:legendPos val="b"/>
      <c:legendEntry>
        <c:idx val="0"/>
        <c:txPr>
          <a:bodyPr/>
          <a:lstStyle/>
          <a:p>
            <a:pPr>
              <a:defRPr baseline="0"/>
            </a:pPr>
            <a:endParaRPr lang="it-IT"/>
          </a:p>
        </c:txPr>
      </c:legendEntry>
      <c:layout>
        <c:manualLayout>
          <c:xMode val="edge"/>
          <c:yMode val="edge"/>
          <c:x val="3.7440624799948787E-2"/>
          <c:y val="0.75655213374179131"/>
          <c:w val="0.92321927048838592"/>
          <c:h val="0.239984663739397"/>
        </c:manualLayout>
      </c:layout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anchor="ctr" anchorCtr="0"/>
          <a:lstStyle/>
          <a:p>
            <a:pPr>
              <a:defRPr/>
            </a:pPr>
            <a:r>
              <a:rPr lang="it-IT"/>
              <a:t>CONFRONTO tra produttività, autoconsumo proprio e accumulo nelle batterie              </a:t>
            </a:r>
          </a:p>
          <a:p>
            <a:pPr>
              <a:defRPr/>
            </a:pPr>
            <a:r>
              <a:rPr lang="it-IT"/>
              <a:t> MEDIO GIORNALIERO</a:t>
            </a:r>
          </a:p>
        </c:rich>
      </c:tx>
      <c:layout>
        <c:manualLayout>
          <c:xMode val="edge"/>
          <c:yMode val="edge"/>
          <c:x val="0.13919468986564476"/>
          <c:y val="2.8485392649214861E-2"/>
        </c:manualLayout>
      </c:layout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9.0349997330145912E-2"/>
          <c:y val="0.1546670244494199"/>
          <c:w val="0.8726121434397266"/>
          <c:h val="0.54349559340226239"/>
        </c:manualLayout>
      </c:layout>
      <c:barChart>
        <c:barDir val="col"/>
        <c:grouping val="stacked"/>
        <c:ser>
          <c:idx val="0"/>
          <c:order val="0"/>
          <c:tx>
            <c:strRef>
              <c:f>'GUIDA dimensionamento ACCUMULO'!$H$50</c:f>
              <c:strCache>
                <c:ptCount val="1"/>
                <c:pt idx="0">
                  <c:v>AUTOCONSUMO PROPRIO  (kWh)</c:v>
                </c:pt>
              </c:strCache>
            </c:strRef>
          </c:tx>
          <c:cat>
            <c:strRef>
              <c:f>'GUIDA dimensionamento ACCUMULO'!$F$51:$F$62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'GUIDA dimensionamento ACCUMULO'!$H$51:$H$62</c:f>
              <c:numCache>
                <c:formatCode>0.00</c:formatCode>
                <c:ptCount val="12"/>
                <c:pt idx="0">
                  <c:v>3.2474678159238546</c:v>
                </c:pt>
                <c:pt idx="1">
                  <c:v>3.9774053706038583</c:v>
                </c:pt>
                <c:pt idx="2">
                  <c:v>4.3607157747534364</c:v>
                </c:pt>
                <c:pt idx="3">
                  <c:v>4.4435850524452061</c:v>
                </c:pt>
                <c:pt idx="4">
                  <c:v>4.7705827427965168</c:v>
                </c:pt>
                <c:pt idx="5">
                  <c:v>5.1031797086675423</c:v>
                </c:pt>
                <c:pt idx="6">
                  <c:v>5.2745175395707982</c:v>
                </c:pt>
                <c:pt idx="7">
                  <c:v>5.0393479677427999</c:v>
                </c:pt>
                <c:pt idx="8">
                  <c:v>4.8497564986452764</c:v>
                </c:pt>
                <c:pt idx="9">
                  <c:v>3.8411030065239569</c:v>
                </c:pt>
                <c:pt idx="10">
                  <c:v>3.0549647235560804</c:v>
                </c:pt>
                <c:pt idx="11">
                  <c:v>3.0790416082908507</c:v>
                </c:pt>
              </c:numCache>
            </c:numRef>
          </c:val>
        </c:ser>
        <c:ser>
          <c:idx val="2"/>
          <c:order val="1"/>
          <c:tx>
            <c:strRef>
              <c:f>'GUIDA dimensionamento ACCUMULO'!$M$50</c:f>
              <c:strCache>
                <c:ptCount val="1"/>
                <c:pt idx="0">
                  <c:v>AUTOCONSUMO dovuto
alle BATTERIE (kWh)</c:v>
                </c:pt>
              </c:strCache>
            </c:strRef>
          </c:tx>
          <c:cat>
            <c:strRef>
              <c:f>'GUIDA dimensionamento ACCUMULO'!$F$51:$F$62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'GUIDA dimensionamento ACCUMULO'!$M$51:$M$62</c:f>
              <c:numCache>
                <c:formatCode>0.00</c:formatCode>
                <c:ptCount val="12"/>
                <c:pt idx="0">
                  <c:v>3.3610755410288191</c:v>
                </c:pt>
                <c:pt idx="1">
                  <c:v>6.1925983662318451</c:v>
                </c:pt>
                <c:pt idx="2">
                  <c:v>7.7519999999999998</c:v>
                </c:pt>
                <c:pt idx="3">
                  <c:v>7.7519999999999998</c:v>
                </c:pt>
                <c:pt idx="4">
                  <c:v>7.7519999999999998</c:v>
                </c:pt>
                <c:pt idx="5">
                  <c:v>7.7519999999999998</c:v>
                </c:pt>
                <c:pt idx="6">
                  <c:v>7.7519999999999998</c:v>
                </c:pt>
                <c:pt idx="7">
                  <c:v>7.7519999999999998</c:v>
                </c:pt>
                <c:pt idx="8">
                  <c:v>7.7519999999999998</c:v>
                </c:pt>
                <c:pt idx="9">
                  <c:v>7.5914537283176298</c:v>
                </c:pt>
                <c:pt idx="10">
                  <c:v>4.5002953482894146</c:v>
                </c:pt>
                <c:pt idx="11">
                  <c:v>3.1867571985443424</c:v>
                </c:pt>
              </c:numCache>
            </c:numRef>
          </c:val>
        </c:ser>
        <c:overlap val="100"/>
        <c:axId val="109405312"/>
        <c:axId val="109406848"/>
      </c:barChart>
      <c:lineChart>
        <c:grouping val="standard"/>
        <c:ser>
          <c:idx val="1"/>
          <c:order val="2"/>
          <c:tx>
            <c:strRef>
              <c:f>'GUIDA dimensionamento ACCUMULO'!$G$50</c:f>
              <c:strCache>
                <c:ptCount val="1"/>
                <c:pt idx="0">
                  <c:v>PRODUZIONE
(kWh)</c:v>
                </c:pt>
              </c:strCache>
            </c:strRef>
          </c:tx>
          <c:trendline>
            <c:trendlineType val="poly"/>
            <c:order val="4"/>
          </c:trendline>
          <c:cat>
            <c:strRef>
              <c:f>'GUIDA dimensionamento ACCUMULO'!$F$51:$F$62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'GUIDA dimensionamento ACCUMULO'!$G$51:$G$62</c:f>
              <c:numCache>
                <c:formatCode>0.00</c:formatCode>
                <c:ptCount val="12"/>
                <c:pt idx="0">
                  <c:v>7.7289018706289472</c:v>
                </c:pt>
                <c:pt idx="1">
                  <c:v>11.122711177794448</c:v>
                </c:pt>
                <c:pt idx="2">
                  <c:v>14.781368245287128</c:v>
                </c:pt>
                <c:pt idx="3">
                  <c:v>16.568494123530879</c:v>
                </c:pt>
                <c:pt idx="4">
                  <c:v>17.787748227379424</c:v>
                </c:pt>
                <c:pt idx="5">
                  <c:v>19.027879969992497</c:v>
                </c:pt>
                <c:pt idx="6">
                  <c:v>19.666735716187109</c:v>
                </c:pt>
                <c:pt idx="7">
                  <c:v>18.789874888076856</c:v>
                </c:pt>
                <c:pt idx="8">
                  <c:v>16.439052763190794</c:v>
                </c:pt>
                <c:pt idx="9">
                  <c:v>12.276051593543546</c:v>
                </c:pt>
                <c:pt idx="10">
                  <c:v>8.5431297824456109</c:v>
                </c:pt>
                <c:pt idx="11">
                  <c:v>7.3280512063499739</c:v>
                </c:pt>
              </c:numCache>
            </c:numRef>
          </c:val>
        </c:ser>
        <c:ser>
          <c:idx val="3"/>
          <c:order val="3"/>
          <c:tx>
            <c:strRef>
              <c:f>'GUIDA dimensionamento ACCUMULO'!$N$50</c:f>
              <c:strCache>
                <c:ptCount val="1"/>
                <c:pt idx="0">
                  <c:v>AUTOCONSUMO TOTALE  (kWh)</c:v>
                </c:pt>
              </c:strCache>
            </c:strRef>
          </c:tx>
          <c:cat>
            <c:strRef>
              <c:f>'GUIDA dimensionamento ACCUMULO'!$F$51:$F$62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'GUIDA dimensionamento ACCUMULO'!$N$51:$N$62</c:f>
              <c:numCache>
                <c:formatCode>0.00</c:formatCode>
                <c:ptCount val="12"/>
                <c:pt idx="0">
                  <c:v>6.6085433569526737</c:v>
                </c:pt>
                <c:pt idx="1">
                  <c:v>10.170003736835703</c:v>
                </c:pt>
                <c:pt idx="2">
                  <c:v>12.112715774753436</c:v>
                </c:pt>
                <c:pt idx="3">
                  <c:v>12.195585052445207</c:v>
                </c:pt>
                <c:pt idx="4">
                  <c:v>12.522582742796516</c:v>
                </c:pt>
                <c:pt idx="5">
                  <c:v>12.855179708667542</c:v>
                </c:pt>
                <c:pt idx="6">
                  <c:v>13.026517539570797</c:v>
                </c:pt>
                <c:pt idx="7">
                  <c:v>12.7913479677428</c:v>
                </c:pt>
                <c:pt idx="8">
                  <c:v>12.601756498645276</c:v>
                </c:pt>
                <c:pt idx="9">
                  <c:v>11.432556734841587</c:v>
                </c:pt>
                <c:pt idx="10">
                  <c:v>7.5552600718454954</c:v>
                </c:pt>
                <c:pt idx="11">
                  <c:v>6.2657988068351926</c:v>
                </c:pt>
              </c:numCache>
            </c:numRef>
          </c:val>
        </c:ser>
        <c:ser>
          <c:idx val="4"/>
          <c:order val="4"/>
          <c:tx>
            <c:strRef>
              <c:f>'GUIDA dimensionamento ACCUMULO'!$L$50</c:f>
              <c:strCache>
                <c:ptCount val="1"/>
                <c:pt idx="0">
                  <c:v>CONSUMO  (kWh)</c:v>
                </c:pt>
              </c:strCache>
            </c:strRef>
          </c:tx>
          <c:cat>
            <c:strRef>
              <c:f>'GUIDA dimensionamento ACCUMULO'!$F$51:$F$62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'GUIDA dimensionamento ACCUMULO'!$L$51:$L$62</c:f>
              <c:numCache>
                <c:formatCode>0.00</c:formatCode>
                <c:ptCount val="12"/>
                <c:pt idx="0">
                  <c:v>12.926027397260274</c:v>
                </c:pt>
                <c:pt idx="1">
                  <c:v>12.926027397260274</c:v>
                </c:pt>
                <c:pt idx="2">
                  <c:v>12.926027397260274</c:v>
                </c:pt>
                <c:pt idx="3">
                  <c:v>12.926027397260274</c:v>
                </c:pt>
                <c:pt idx="4">
                  <c:v>12.926027397260274</c:v>
                </c:pt>
                <c:pt idx="5">
                  <c:v>12.926027397260274</c:v>
                </c:pt>
                <c:pt idx="6">
                  <c:v>12.926027397260274</c:v>
                </c:pt>
                <c:pt idx="7">
                  <c:v>12.926027397260274</c:v>
                </c:pt>
                <c:pt idx="8">
                  <c:v>12.926027397260274</c:v>
                </c:pt>
                <c:pt idx="9">
                  <c:v>12.926027397260274</c:v>
                </c:pt>
                <c:pt idx="10">
                  <c:v>12.926027397260274</c:v>
                </c:pt>
                <c:pt idx="11">
                  <c:v>12.926027397260274</c:v>
                </c:pt>
              </c:numCache>
            </c:numRef>
          </c:val>
        </c:ser>
        <c:marker val="1"/>
        <c:axId val="109405312"/>
        <c:axId val="109406848"/>
      </c:lineChart>
      <c:catAx>
        <c:axId val="109405312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-2700000" vert="horz"/>
          <a:lstStyle/>
          <a:p>
            <a:pPr>
              <a:defRPr/>
            </a:pPr>
            <a:endParaRPr lang="it-IT"/>
          </a:p>
        </c:txPr>
        <c:crossAx val="109406848"/>
        <c:crosses val="autoZero"/>
        <c:lblAlgn val="ctr"/>
        <c:lblOffset val="100"/>
        <c:tickLblSkip val="1"/>
        <c:tickMarkSkip val="1"/>
      </c:catAx>
      <c:valAx>
        <c:axId val="109406848"/>
        <c:scaling>
          <c:orientation val="minMax"/>
        </c:scaling>
        <c:axPos val="l"/>
        <c:majorGridlines/>
        <c:minorGridlines/>
        <c:numFmt formatCode="0.00" sourceLinked="1"/>
        <c:majorTickMark val="cross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9405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rgbClr val="808080"/>
          </a:solidFill>
        </a:ln>
        <a:scene3d>
          <a:camera prst="orthographicFront"/>
          <a:lightRig rig="threePt" dir="t"/>
        </a:scene3d>
        <a:sp3d prstMaterial="matte"/>
      </c:spPr>
    </c:plotArea>
    <c:legend>
      <c:legendPos val="b"/>
      <c:legendEntry>
        <c:idx val="-1"/>
        <c:delete val="1"/>
      </c:legendEntry>
      <c:layout>
        <c:manualLayout>
          <c:xMode val="edge"/>
          <c:yMode val="edge"/>
          <c:x val="8.6449545919436224E-2"/>
          <c:y val="0.80083978320601301"/>
          <c:w val="0.85452285600450584"/>
          <c:h val="0.1376138685539707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9525" cap="flat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bevel/>
        </a:ln>
      </c:spPr>
    </c:legend>
    <c:plotVisOnly val="1"/>
    <c:dispBlanksAs val="gap"/>
  </c:chart>
  <c:spPr>
    <a:ln>
      <a:solidFill>
        <a:schemeClr val="tx1"/>
      </a:solidFill>
    </a:ln>
  </c:spPr>
  <c:printSettings>
    <c:headerFooter alignWithMargins="0">
      <c:oddHeader>&amp;A</c:oddHeader>
      <c:oddFooter>Page &amp;P</c:oddFooter>
    </c:headerFooter>
    <c:pageMargins b="1" l="0.75000000000001288" r="0.7500000000000128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cumulato annuale</a:t>
            </a:r>
          </a:p>
        </c:rich>
      </c:tx>
      <c:layout/>
      <c:spPr>
        <a:noFill/>
        <a:ln w="25400">
          <a:noFill/>
        </a:ln>
      </c:spPr>
    </c:title>
    <c:view3D>
      <c:hPercent val="2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cash-flow FV tradizionale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'gamma celle'!#REF!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cash flow impianto innovativo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'gamma celle'!#REF!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109760896"/>
        <c:axId val="109762816"/>
        <c:axId val="0"/>
      </c:bar3DChart>
      <c:catAx>
        <c:axId val="10976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9762816"/>
        <c:crosses val="autoZero"/>
        <c:auto val="1"/>
        <c:lblAlgn val="ctr"/>
        <c:lblOffset val="100"/>
        <c:tickLblSkip val="1"/>
        <c:tickMarkSkip val="1"/>
      </c:catAx>
      <c:valAx>
        <c:axId val="10976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euro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9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1266" r="0.750000000000012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3</xdr:col>
      <xdr:colOff>1819275</xdr:colOff>
      <xdr:row>0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133350</xdr:rowOff>
    </xdr:from>
    <xdr:ext cx="76200" cy="200025"/>
    <xdr:sp macro="" textlink="">
      <xdr:nvSpPr>
        <xdr:cNvPr id="2" name="Text Box 52"/>
        <xdr:cNvSpPr txBox="1">
          <a:spLocks noChangeArrowheads="1"/>
        </xdr:cNvSpPr>
      </xdr:nvSpPr>
      <xdr:spPr bwMode="auto">
        <a:xfrm>
          <a:off x="2905125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133350</xdr:rowOff>
    </xdr:from>
    <xdr:ext cx="76200" cy="200025"/>
    <xdr:sp macro="" textlink="">
      <xdr:nvSpPr>
        <xdr:cNvPr id="3" name="Text Box 52"/>
        <xdr:cNvSpPr txBox="1">
          <a:spLocks noChangeArrowheads="1"/>
        </xdr:cNvSpPr>
      </xdr:nvSpPr>
      <xdr:spPr bwMode="auto">
        <a:xfrm>
          <a:off x="0" y="821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31</xdr:row>
      <xdr:rowOff>133350</xdr:rowOff>
    </xdr:from>
    <xdr:ext cx="76200" cy="200025"/>
    <xdr:sp macro="" textlink="">
      <xdr:nvSpPr>
        <xdr:cNvPr id="8244" name="Text Box 52"/>
        <xdr:cNvSpPr txBox="1">
          <a:spLocks noChangeArrowheads="1"/>
        </xdr:cNvSpPr>
      </xdr:nvSpPr>
      <xdr:spPr bwMode="auto">
        <a:xfrm>
          <a:off x="2905125" y="7048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46</xdr:row>
      <xdr:rowOff>76200</xdr:rowOff>
    </xdr:from>
    <xdr:to>
      <xdr:col>4</xdr:col>
      <xdr:colOff>2219325</xdr:colOff>
      <xdr:row>60</xdr:row>
      <xdr:rowOff>190500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47</xdr:row>
      <xdr:rowOff>95251</xdr:rowOff>
    </xdr:from>
    <xdr:to>
      <xdr:col>3</xdr:col>
      <xdr:colOff>219075</xdr:colOff>
      <xdr:row>74</xdr:row>
      <xdr:rowOff>190500</xdr:rowOff>
    </xdr:to>
    <xdr:graphicFrame macro="">
      <xdr:nvGraphicFramePr>
        <xdr:cNvPr id="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4</xdr:col>
      <xdr:colOff>1819275</xdr:colOff>
      <xdr:row>0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\AppData\Roaming\Microsoft\Excel\dimensionamento%20e%20redditivita%20accumulo%201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truzioni"/>
      <sheetName val="calcolo bolletta"/>
      <sheetName val="gamma celle"/>
      <sheetName val="GUIDA dimensionamento ACCUMULO"/>
      <sheetName val="Redditività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M29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Documento_di_Microsoft_Word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4"/>
  <dimension ref="A1:AB77"/>
  <sheetViews>
    <sheetView topLeftCell="A6" workbookViewId="0">
      <selection activeCell="A41" sqref="A41"/>
    </sheetView>
  </sheetViews>
  <sheetFormatPr defaultRowHeight="12.75"/>
  <cols>
    <col min="1" max="1" width="18.140625" customWidth="1"/>
    <col min="2" max="2" width="18.7109375" customWidth="1"/>
    <col min="3" max="3" width="25.7109375" customWidth="1"/>
    <col min="4" max="4" width="29.7109375" customWidth="1"/>
    <col min="5" max="5" width="12.28515625" customWidth="1"/>
    <col min="7" max="12" width="15.7109375" customWidth="1"/>
    <col min="28" max="28" width="9.140625" style="9"/>
  </cols>
  <sheetData>
    <row r="1" spans="1:4" ht="15" customHeight="1">
      <c r="A1" s="665" t="s">
        <v>151</v>
      </c>
      <c r="B1" s="665"/>
      <c r="C1" s="665"/>
      <c r="D1" s="665"/>
    </row>
    <row r="2" spans="1:4" ht="15" customHeight="1" thickBot="1">
      <c r="A2" s="666" t="s">
        <v>3</v>
      </c>
      <c r="B2" s="667"/>
      <c r="C2" s="667"/>
      <c r="D2" s="667"/>
    </row>
    <row r="3" spans="1:4" ht="24.95" customHeight="1" thickBot="1">
      <c r="A3" s="4" t="s">
        <v>4</v>
      </c>
      <c r="B3" s="19" t="s">
        <v>5</v>
      </c>
      <c r="C3" s="20" t="s">
        <v>9</v>
      </c>
      <c r="D3" s="21" t="s">
        <v>6</v>
      </c>
    </row>
    <row r="5" spans="1:4" ht="167.25" customHeight="1"/>
    <row r="33" spans="1:2" ht="17.25" customHeight="1">
      <c r="A33" s="22"/>
    </row>
    <row r="34" spans="1:2" ht="12" customHeight="1">
      <c r="A34" s="22"/>
      <c r="B34">
        <f>B31+B32+IF($B$26="0",0,$B$33)</f>
        <v>0</v>
      </c>
    </row>
    <row r="35" spans="1:2" ht="12" customHeight="1">
      <c r="A35" s="22"/>
    </row>
    <row r="36" spans="1:2" ht="12" customHeight="1">
      <c r="A36" s="22"/>
    </row>
    <row r="37" spans="1:2" ht="12" customHeight="1">
      <c r="A37" s="22"/>
    </row>
    <row r="38" spans="1:2" ht="12" customHeight="1">
      <c r="A38" s="22"/>
    </row>
    <row r="39" spans="1:2" ht="12" customHeight="1">
      <c r="A39" s="22"/>
    </row>
    <row r="64" spans="8:9">
      <c r="H64" s="58"/>
      <c r="I64" s="58"/>
    </row>
    <row r="65" spans="8:9">
      <c r="H65" s="58"/>
      <c r="I65" s="58"/>
    </row>
    <row r="66" spans="8:9">
      <c r="H66" s="58"/>
      <c r="I66" s="58"/>
    </row>
    <row r="67" spans="8:9">
      <c r="H67" s="58"/>
      <c r="I67" s="58"/>
    </row>
    <row r="68" spans="8:9">
      <c r="H68" s="58"/>
    </row>
    <row r="69" spans="8:9">
      <c r="H69" s="58"/>
    </row>
    <row r="70" spans="8:9">
      <c r="H70" s="58"/>
    </row>
    <row r="71" spans="8:9">
      <c r="H71" s="58"/>
    </row>
    <row r="72" spans="8:9">
      <c r="H72" s="58"/>
    </row>
    <row r="73" spans="8:9">
      <c r="H73" s="58"/>
    </row>
    <row r="74" spans="8:9">
      <c r="H74" s="58"/>
    </row>
    <row r="75" spans="8:9">
      <c r="H75" s="58"/>
    </row>
    <row r="76" spans="8:9">
      <c r="H76" s="58"/>
    </row>
    <row r="77" spans="8:9">
      <c r="H77" s="58"/>
    </row>
  </sheetData>
  <sheetProtection selectLockedCells="1" selectUnlockedCells="1"/>
  <dataConsolidate/>
  <mergeCells count="2">
    <mergeCell ref="A1:D1"/>
    <mergeCell ref="A2:D2"/>
  </mergeCells>
  <phoneticPr fontId="2" type="noConversion"/>
  <pageMargins left="0.5" right="0.51" top="0.19" bottom="0.19685039370078741" header="0.19" footer="0.19685039370078741"/>
  <pageSetup paperSize="9" orientation="portrait" r:id="rId1"/>
  <headerFooter alignWithMargins="0">
    <oddFooter>&amp;C&amp;P/&amp;N</oddFooter>
  </headerFooter>
  <drawing r:id="rId2"/>
  <legacyDrawing r:id="rId3"/>
  <oleObjects>
    <oleObject progId="Word.Document.8" shapeId="3084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Z42"/>
  <sheetViews>
    <sheetView topLeftCell="A19" workbookViewId="0">
      <selection activeCell="D37" sqref="D37"/>
    </sheetView>
  </sheetViews>
  <sheetFormatPr defaultRowHeight="12.75"/>
  <cols>
    <col min="1" max="1" width="27.7109375" style="459" customWidth="1"/>
    <col min="2" max="3" width="13.7109375" style="459" customWidth="1"/>
    <col min="4" max="4" width="13.7109375" style="589" customWidth="1"/>
    <col min="5" max="5" width="1.7109375" style="459" hidden="1" customWidth="1"/>
    <col min="6" max="23" width="9.140625" style="459"/>
    <col min="24" max="24" width="0" style="459" hidden="1" customWidth="1"/>
    <col min="25" max="25" width="9.140625" style="459" customWidth="1"/>
    <col min="26" max="26" width="9.140625" style="459" hidden="1" customWidth="1"/>
    <col min="27" max="27" width="9.140625" style="459" customWidth="1"/>
    <col min="28" max="16384" width="9.140625" style="459"/>
  </cols>
  <sheetData>
    <row r="1" spans="1:26" s="464" customFormat="1" ht="15.75">
      <c r="A1" s="670" t="s">
        <v>427</v>
      </c>
      <c r="B1" s="671"/>
      <c r="C1" s="671"/>
      <c r="D1" s="671"/>
    </row>
    <row r="2" spans="1:26">
      <c r="A2" s="681" t="s">
        <v>429</v>
      </c>
      <c r="B2" s="682"/>
      <c r="C2" s="682"/>
      <c r="D2" s="682"/>
    </row>
    <row r="3" spans="1:26" s="464" customFormat="1">
      <c r="B3" s="463"/>
      <c r="C3" s="463"/>
      <c r="D3" s="588"/>
    </row>
    <row r="4" spans="1:26" s="464" customFormat="1">
      <c r="A4" s="463"/>
      <c r="B4" s="463"/>
      <c r="C4" s="463"/>
      <c r="D4" s="588"/>
    </row>
    <row r="5" spans="1:26" s="464" customFormat="1" ht="13.5" thickBot="1">
      <c r="A5" s="463"/>
      <c r="B5" s="463"/>
      <c r="C5" s="463"/>
      <c r="D5" s="588"/>
    </row>
    <row r="6" spans="1:26" ht="19.5" customHeight="1" thickBot="1">
      <c r="A6" s="678" t="s">
        <v>314</v>
      </c>
      <c r="B6" s="679"/>
      <c r="C6" s="679"/>
      <c r="D6" s="679"/>
      <c r="E6" s="680"/>
    </row>
    <row r="7" spans="1:26" ht="32.25" thickBot="1">
      <c r="A7" s="480"/>
      <c r="B7" s="481" t="s">
        <v>306</v>
      </c>
      <c r="C7" s="481" t="s">
        <v>308</v>
      </c>
      <c r="D7" s="481" t="s">
        <v>307</v>
      </c>
      <c r="E7" s="465"/>
      <c r="F7" s="465"/>
    </row>
    <row r="8" spans="1:26" ht="29.25" thickBot="1">
      <c r="A8" s="481" t="s">
        <v>476</v>
      </c>
      <c r="B8" s="482">
        <v>2215</v>
      </c>
      <c r="C8" s="482">
        <v>1125</v>
      </c>
      <c r="D8" s="482">
        <v>1378</v>
      </c>
      <c r="E8" s="466"/>
      <c r="F8" s="466"/>
      <c r="Z8" s="565"/>
    </row>
    <row r="9" spans="1:26" s="640" customFormat="1" ht="27.75" customHeight="1">
      <c r="E9" s="466"/>
      <c r="F9" s="466"/>
      <c r="Z9"/>
    </row>
    <row r="10" spans="1:26" ht="15.75" thickBot="1">
      <c r="E10" s="466"/>
      <c r="F10" s="466"/>
      <c r="G10" s="5"/>
      <c r="Z10" s="555" t="s">
        <v>354</v>
      </c>
    </row>
    <row r="11" spans="1:26" customFormat="1" ht="24" customHeight="1" thickTop="1">
      <c r="A11" s="683" t="s">
        <v>447</v>
      </c>
      <c r="B11" s="684"/>
      <c r="C11" s="684"/>
      <c r="D11" s="668" t="s">
        <v>354</v>
      </c>
      <c r="X11" s="556" t="s">
        <v>354</v>
      </c>
      <c r="Z11" s="555" t="s">
        <v>444</v>
      </c>
    </row>
    <row r="12" spans="1:26" customFormat="1" ht="24" customHeight="1" thickBot="1">
      <c r="A12" s="685"/>
      <c r="B12" s="686"/>
      <c r="C12" s="686"/>
      <c r="D12" s="669"/>
    </row>
    <row r="13" spans="1:26" s="525" customFormat="1" ht="16.5" thickTop="1" thickBot="1">
      <c r="D13" s="589"/>
      <c r="E13" s="466"/>
      <c r="F13" s="466"/>
      <c r="Z13"/>
    </row>
    <row r="14" spans="1:26" s="528" customFormat="1" ht="19.5" thickBot="1">
      <c r="A14" s="476" t="s">
        <v>446</v>
      </c>
      <c r="B14" s="563">
        <v>6</v>
      </c>
      <c r="D14" s="589"/>
      <c r="E14" s="466"/>
      <c r="F14" s="466"/>
      <c r="Z14" s="525">
        <v>3</v>
      </c>
    </row>
    <row r="15" spans="1:26" s="525" customFormat="1" ht="15.75" customHeight="1">
      <c r="D15" s="589"/>
      <c r="E15" s="466"/>
      <c r="F15" s="466"/>
      <c r="Z15" s="528">
        <v>4.5</v>
      </c>
    </row>
    <row r="16" spans="1:26" ht="38.25" thickBot="1">
      <c r="A16" s="465"/>
      <c r="B16" s="468" t="s">
        <v>302</v>
      </c>
      <c r="C16" s="465"/>
      <c r="D16" s="465"/>
      <c r="E16" s="466"/>
      <c r="F16" s="466"/>
      <c r="Z16" s="525">
        <v>6</v>
      </c>
    </row>
    <row r="17" spans="1:6" ht="20.100000000000001" customHeight="1" thickBot="1">
      <c r="A17" s="476" t="s">
        <v>376</v>
      </c>
      <c r="B17" s="885">
        <v>265</v>
      </c>
      <c r="C17" s="469"/>
      <c r="D17" s="469"/>
      <c r="F17" s="466"/>
    </row>
    <row r="18" spans="1:6" ht="20.100000000000001" customHeight="1" thickBot="1">
      <c r="A18" s="476" t="s">
        <v>377</v>
      </c>
      <c r="B18" s="885">
        <v>230</v>
      </c>
      <c r="C18" s="469"/>
      <c r="D18" s="469"/>
      <c r="F18" s="466"/>
    </row>
    <row r="19" spans="1:6" ht="20.100000000000001" customHeight="1" thickBot="1">
      <c r="A19" s="476" t="s">
        <v>378</v>
      </c>
      <c r="B19" s="885">
        <v>220</v>
      </c>
      <c r="C19" s="469"/>
      <c r="D19" s="469"/>
      <c r="F19" s="466"/>
    </row>
    <row r="20" spans="1:6" ht="20.100000000000001" customHeight="1" thickBot="1">
      <c r="A20" s="476" t="s">
        <v>379</v>
      </c>
      <c r="B20" s="885">
        <v>190</v>
      </c>
      <c r="C20" s="469"/>
      <c r="D20" s="469"/>
      <c r="F20" s="466"/>
    </row>
    <row r="21" spans="1:6" ht="20.100000000000001" customHeight="1" thickBot="1">
      <c r="A21" s="476" t="s">
        <v>381</v>
      </c>
      <c r="B21" s="885">
        <v>152</v>
      </c>
      <c r="C21" s="469"/>
      <c r="D21" s="469"/>
      <c r="F21" s="466"/>
    </row>
    <row r="22" spans="1:6" ht="20.100000000000001" customHeight="1" thickBot="1">
      <c r="A22" s="476" t="s">
        <v>380</v>
      </c>
      <c r="B22" s="885">
        <v>200</v>
      </c>
      <c r="C22" s="469"/>
      <c r="D22" s="469"/>
    </row>
    <row r="23" spans="1:6" ht="20.100000000000001" customHeight="1" thickBot="1">
      <c r="A23" s="476" t="s">
        <v>420</v>
      </c>
      <c r="B23" s="478">
        <v>0</v>
      </c>
      <c r="C23" s="467"/>
      <c r="D23" s="467"/>
      <c r="E23" s="466"/>
    </row>
    <row r="24" spans="1:6" ht="20.100000000000001" customHeight="1">
      <c r="A24" s="467" t="s">
        <v>309</v>
      </c>
      <c r="B24" s="477">
        <f>SUM(B17:B23)</f>
        <v>1257</v>
      </c>
      <c r="C24" s="466"/>
      <c r="D24" s="466"/>
    </row>
    <row r="25" spans="1:6" ht="18.75">
      <c r="A25" s="467"/>
      <c r="B25" s="466"/>
      <c r="C25" s="466"/>
      <c r="D25" s="466"/>
    </row>
    <row r="26" spans="1:6" ht="18.75">
      <c r="A26" s="467"/>
      <c r="B26" s="466"/>
      <c r="C26" s="466"/>
      <c r="D26" s="466"/>
    </row>
    <row r="27" spans="1:6" ht="19.5" customHeight="1">
      <c r="A27" s="467"/>
      <c r="B27" s="466"/>
      <c r="C27" s="466"/>
      <c r="D27" s="466"/>
    </row>
    <row r="28" spans="1:6" ht="15.75" customHeight="1">
      <c r="A28" s="467"/>
      <c r="B28" s="466"/>
      <c r="C28" s="466"/>
      <c r="D28" s="459"/>
    </row>
    <row r="29" spans="1:6" ht="15">
      <c r="A29" s="466"/>
      <c r="B29" s="471"/>
      <c r="C29" s="471"/>
      <c r="D29" s="459"/>
    </row>
    <row r="30" spans="1:6" ht="19.5" thickBot="1">
      <c r="A30" s="470"/>
      <c r="B30" s="470"/>
      <c r="C30" s="471"/>
      <c r="D30" s="459"/>
    </row>
    <row r="31" spans="1:6" ht="19.5" customHeight="1" thickBot="1">
      <c r="A31" s="676" t="s">
        <v>310</v>
      </c>
      <c r="B31" s="677"/>
      <c r="C31" s="472">
        <f>SUM(B8:D8)</f>
        <v>4718</v>
      </c>
      <c r="D31" s="459"/>
    </row>
    <row r="32" spans="1:6" ht="19.5" customHeight="1" thickBot="1">
      <c r="A32" s="676" t="s">
        <v>428</v>
      </c>
      <c r="B32" s="677"/>
      <c r="C32" s="473">
        <f>B24</f>
        <v>1257</v>
      </c>
      <c r="D32" s="459"/>
    </row>
    <row r="33" spans="1:4" ht="15.75">
      <c r="A33" s="672" t="s">
        <v>286</v>
      </c>
      <c r="B33" s="673"/>
      <c r="C33" s="460"/>
      <c r="D33" s="459"/>
    </row>
    <row r="34" spans="1:4" ht="16.5" thickBot="1">
      <c r="A34" s="674">
        <f>C32/C31</f>
        <v>0.26642645188639252</v>
      </c>
      <c r="B34" s="675"/>
      <c r="C34" s="460"/>
      <c r="D34" s="459"/>
    </row>
    <row r="35" spans="1:4" ht="13.5" thickTop="1">
      <c r="B35" s="460"/>
      <c r="C35" s="460"/>
      <c r="D35" s="459"/>
    </row>
    <row r="36" spans="1:4">
      <c r="B36" s="460"/>
      <c r="C36" s="460"/>
      <c r="D36" s="459"/>
    </row>
    <row r="37" spans="1:4">
      <c r="B37" s="460"/>
      <c r="C37" s="460"/>
      <c r="D37" s="588"/>
    </row>
    <row r="38" spans="1:4">
      <c r="A38" s="460"/>
      <c r="B38" s="460"/>
      <c r="C38" s="460"/>
      <c r="D38" s="588"/>
    </row>
    <row r="39" spans="1:4" ht="13.5" thickBot="1">
      <c r="A39" s="460"/>
      <c r="B39" s="460"/>
      <c r="C39" s="460"/>
      <c r="D39" s="588"/>
    </row>
    <row r="40" spans="1:4" ht="14.25" thickTop="1" thickBot="1">
      <c r="A40" s="474"/>
      <c r="B40" s="460"/>
      <c r="C40" s="460"/>
      <c r="D40" s="588"/>
    </row>
    <row r="41" spans="1:4" ht="13.5" thickTop="1">
      <c r="A41" s="460"/>
      <c r="B41" s="460"/>
    </row>
    <row r="42" spans="1:4">
      <c r="A42" s="460"/>
    </row>
  </sheetData>
  <sheetProtection password="D42B" sheet="1" objects="1" scenarios="1"/>
  <protectedRanges>
    <protectedRange sqref="D11" name="Intervallo3"/>
    <protectedRange sqref="B8:D8" name="Intervallo4_1"/>
    <protectedRange sqref="B17:B23 B14" name="Intervallo3_1"/>
  </protectedRanges>
  <dataConsolidate/>
  <mergeCells count="9">
    <mergeCell ref="D11:D12"/>
    <mergeCell ref="A1:D1"/>
    <mergeCell ref="A33:B33"/>
    <mergeCell ref="A34:B34"/>
    <mergeCell ref="A31:B31"/>
    <mergeCell ref="A32:B32"/>
    <mergeCell ref="A6:E6"/>
    <mergeCell ref="A2:D2"/>
    <mergeCell ref="A11:C12"/>
  </mergeCells>
  <dataValidations count="6">
    <dataValidation type="textLength" allowBlank="1" showInputMessage="1" showErrorMessage="1" sqref="F11:V12 W11 Y11 X12 AA11:HG11 Z12:HF12">
      <formula1>10000</formula1>
      <formula2>10000</formula2>
    </dataValidation>
    <dataValidation type="textLength" allowBlank="1" showInputMessage="1" showErrorMessage="1" sqref="D16:D27 A16:A1048576 D28:XFD1048576 E13:XFD27 B24:B1048576 B16 E11:E12 Z11 Y12 X11 W12 A10:D10 B1:XFD7 E8:XFD10 C32:C1048576 C16:C30 A1:A7">
      <formula1>1000</formula1>
      <formula2>1000</formula2>
    </dataValidation>
    <dataValidation type="decimal" allowBlank="1" showInputMessage="1" showErrorMessage="1" sqref="B17:B23">
      <formula1>0</formula1>
      <formula2>1000000</formula2>
    </dataValidation>
    <dataValidation type="whole" allowBlank="1" showInputMessage="1" showErrorMessage="1" sqref="B8:D8">
      <formula1>100</formula1>
      <formula2>100000</formula2>
    </dataValidation>
    <dataValidation type="list" allowBlank="1" showInputMessage="1" showErrorMessage="1" prompt="selezionare le opzioni disponibili" sqref="B14">
      <formula1>$Z$14:$Z$16</formula1>
    </dataValidation>
    <dataValidation type="list" allowBlank="1" showInputMessage="1" showErrorMessage="1" prompt="selezionare le2 opzioni disponibili" sqref="D11:D12">
      <formula1>$Z$10:$Z$11</formula1>
    </dataValidation>
  </dataValidations>
  <printOptions horizontalCentered="1" verticalCentered="1"/>
  <pageMargins left="0.59055118110236227" right="0.35433070866141736" top="0.98425196850393704" bottom="0.62992125984251968" header="0.51181102362204722" footer="0.5511811023622047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2"/>
  <dimension ref="A1:AT70"/>
  <sheetViews>
    <sheetView workbookViewId="0">
      <selection activeCell="C15" sqref="C15"/>
    </sheetView>
  </sheetViews>
  <sheetFormatPr defaultRowHeight="15"/>
  <cols>
    <col min="1" max="1" width="3.85546875" style="71" customWidth="1"/>
    <col min="2" max="2" width="15.7109375" style="71" bestFit="1" customWidth="1"/>
    <col min="3" max="3" width="11.5703125" style="71" bestFit="1" customWidth="1"/>
    <col min="4" max="4" width="8.5703125" style="71" customWidth="1"/>
    <col min="5" max="5" width="6.7109375" style="71" customWidth="1"/>
    <col min="6" max="6" width="11.5703125" style="71" bestFit="1" customWidth="1"/>
    <col min="7" max="7" width="11.28515625" style="71" bestFit="1" customWidth="1"/>
    <col min="8" max="9" width="10.140625" style="71" customWidth="1"/>
    <col min="10" max="10" width="7.140625" style="71" bestFit="1" customWidth="1"/>
    <col min="11" max="11" width="10.28515625" style="71" customWidth="1"/>
    <col min="12" max="12" width="10.140625" style="71" customWidth="1"/>
    <col min="13" max="13" width="8.5703125" style="71" bestFit="1" customWidth="1"/>
    <col min="14" max="14" width="9.85546875" style="71" customWidth="1"/>
    <col min="16" max="16" width="12.42578125" hidden="1" customWidth="1"/>
    <col min="17" max="17" width="0" hidden="1" customWidth="1"/>
    <col min="18" max="18" width="15.85546875" hidden="1" customWidth="1"/>
    <col min="19" max="19" width="9.28515625" hidden="1" customWidth="1"/>
    <col min="20" max="36" width="9.140625" hidden="1" customWidth="1"/>
    <col min="37" max="39" width="9.140625" customWidth="1"/>
  </cols>
  <sheetData>
    <row r="1" spans="1:46" ht="30.95" customHeight="1" thickBot="1">
      <c r="A1" s="710" t="s">
        <v>424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2"/>
    </row>
    <row r="2" spans="1:46" ht="3.95" customHeight="1" thickBot="1"/>
    <row r="3" spans="1:46" ht="35.25" customHeight="1">
      <c r="A3" s="391"/>
      <c r="B3" s="392"/>
      <c r="C3" s="392"/>
      <c r="D3" s="392"/>
      <c r="E3" s="392"/>
      <c r="F3" s="392"/>
      <c r="G3" s="392"/>
      <c r="H3" s="705" t="s">
        <v>249</v>
      </c>
      <c r="I3" s="698"/>
      <c r="J3" s="393"/>
      <c r="K3" s="698"/>
      <c r="L3" s="698"/>
      <c r="M3" s="698"/>
      <c r="N3" s="699"/>
      <c r="X3" s="695" t="s">
        <v>403</v>
      </c>
      <c r="Y3" s="695"/>
      <c r="Z3" s="695"/>
      <c r="AA3" s="695"/>
    </row>
    <row r="4" spans="1:46" ht="26.25">
      <c r="A4" s="394"/>
      <c r="B4" s="708" t="s">
        <v>250</v>
      </c>
      <c r="C4" s="709"/>
      <c r="D4" s="709"/>
      <c r="E4" s="709"/>
      <c r="F4" s="709"/>
      <c r="G4" s="158"/>
      <c r="H4" s="159" t="s">
        <v>251</v>
      </c>
      <c r="I4" s="704" t="s">
        <v>252</v>
      </c>
      <c r="J4" s="704"/>
      <c r="K4" s="162" t="s">
        <v>253</v>
      </c>
      <c r="L4" s="162" t="s">
        <v>254</v>
      </c>
      <c r="M4" s="162" t="s">
        <v>255</v>
      </c>
      <c r="N4" s="395" t="s">
        <v>256</v>
      </c>
      <c r="S4" t="s">
        <v>382</v>
      </c>
      <c r="T4" t="s">
        <v>383</v>
      </c>
      <c r="U4" t="s">
        <v>384</v>
      </c>
      <c r="X4" s="370"/>
      <c r="Y4" s="371" t="s">
        <v>404</v>
      </c>
      <c r="Z4" s="371" t="s">
        <v>405</v>
      </c>
      <c r="AA4" s="370"/>
    </row>
    <row r="5" spans="1:46" ht="26.25">
      <c r="A5" s="394"/>
      <c r="B5" s="693" t="s">
        <v>289</v>
      </c>
      <c r="C5" s="694"/>
      <c r="D5" s="694"/>
      <c r="E5" s="694"/>
      <c r="F5" s="694"/>
      <c r="G5" s="158"/>
      <c r="H5" s="160" t="s">
        <v>257</v>
      </c>
      <c r="I5" s="689" t="s">
        <v>258</v>
      </c>
      <c r="J5" s="690"/>
      <c r="K5" s="701" t="s">
        <v>477</v>
      </c>
      <c r="L5" s="702"/>
      <c r="M5" s="702"/>
      <c r="N5" s="703"/>
      <c r="O5" s="356"/>
      <c r="P5" s="145"/>
      <c r="Q5" s="145"/>
      <c r="R5" s="145" t="s">
        <v>385</v>
      </c>
      <c r="S5">
        <v>0</v>
      </c>
      <c r="T5">
        <v>0</v>
      </c>
      <c r="U5">
        <v>0</v>
      </c>
      <c r="X5" s="370"/>
      <c r="Y5" s="372">
        <v>62</v>
      </c>
      <c r="Z5" s="376">
        <f>D15</f>
        <v>463</v>
      </c>
      <c r="AA5" s="370"/>
      <c r="AC5" s="375"/>
      <c r="AT5" s="71"/>
    </row>
    <row r="6" spans="1:46" ht="15.75" thickBot="1">
      <c r="A6" s="396"/>
      <c r="B6" s="397"/>
      <c r="C6" s="397"/>
      <c r="D6" s="397"/>
      <c r="E6" s="397"/>
      <c r="F6" s="397"/>
      <c r="G6" s="161"/>
      <c r="H6" s="161"/>
      <c r="I6" s="691" t="s">
        <v>260</v>
      </c>
      <c r="J6" s="692"/>
      <c r="K6" s="390"/>
      <c r="L6" s="161"/>
      <c r="M6" s="161"/>
      <c r="N6" s="398"/>
      <c r="P6" s="122"/>
      <c r="R6" s="71" t="s">
        <v>386</v>
      </c>
      <c r="S6">
        <v>0</v>
      </c>
      <c r="T6">
        <v>0</v>
      </c>
      <c r="U6">
        <v>0</v>
      </c>
      <c r="AC6" s="375" t="s">
        <v>411</v>
      </c>
    </row>
    <row r="7" spans="1:46" ht="19.5" thickBot="1">
      <c r="A7" s="72"/>
      <c r="B7" s="687" t="s">
        <v>261</v>
      </c>
      <c r="C7" s="688"/>
      <c r="D7" s="72"/>
      <c r="E7" s="72"/>
      <c r="F7" s="687" t="s">
        <v>262</v>
      </c>
      <c r="G7" s="688"/>
      <c r="H7" s="688"/>
      <c r="I7" s="688"/>
      <c r="J7" s="72"/>
      <c r="K7" s="700" t="s">
        <v>263</v>
      </c>
      <c r="L7" s="688"/>
      <c r="M7" s="688"/>
      <c r="N7" s="688"/>
      <c r="P7" s="71"/>
      <c r="Q7" s="71"/>
      <c r="R7" s="71" t="s">
        <v>387</v>
      </c>
      <c r="S7">
        <v>6.5009999999999998E-2</v>
      </c>
      <c r="T7">
        <v>6.5009999999999998E-2</v>
      </c>
      <c r="U7">
        <v>6.5009999999999998E-2</v>
      </c>
      <c r="Y7">
        <f>Y5/AC10</f>
        <v>2.0383561643835617</v>
      </c>
      <c r="Z7" t="s">
        <v>406</v>
      </c>
      <c r="AC7" s="375">
        <v>365</v>
      </c>
    </row>
    <row r="8" spans="1:46" ht="16.5" thickTop="1" thickBot="1">
      <c r="A8" s="73"/>
      <c r="B8" s="73"/>
      <c r="C8" s="73"/>
      <c r="D8" s="73"/>
      <c r="E8" s="73"/>
      <c r="F8" s="73"/>
      <c r="G8" s="73"/>
      <c r="H8" s="74"/>
      <c r="I8" s="74"/>
      <c r="J8" s="73"/>
      <c r="K8" s="73"/>
      <c r="L8" s="73"/>
      <c r="M8" s="73"/>
      <c r="N8" s="73"/>
      <c r="P8" s="71"/>
      <c r="Q8" s="71"/>
      <c r="R8" s="71" t="s">
        <v>388</v>
      </c>
      <c r="S8">
        <v>5.8290000000000002E-2</v>
      </c>
      <c r="T8">
        <v>5.8290000000000002E-2</v>
      </c>
      <c r="U8">
        <v>5.8290000000000002E-2</v>
      </c>
      <c r="Y8">
        <f>Z5/Y7</f>
        <v>227.14381720430106</v>
      </c>
      <c r="Z8" t="s">
        <v>407</v>
      </c>
      <c r="AC8" s="375"/>
    </row>
    <row r="9" spans="1:46" ht="16.5" thickTop="1" thickBot="1">
      <c r="A9" s="75"/>
      <c r="B9" s="721" t="s">
        <v>264</v>
      </c>
      <c r="C9" s="722"/>
      <c r="D9" s="76" t="s">
        <v>265</v>
      </c>
      <c r="E9" s="77">
        <f>(C10-B10)+1</f>
        <v>62</v>
      </c>
      <c r="F9" s="721" t="s">
        <v>266</v>
      </c>
      <c r="G9" s="722"/>
      <c r="H9" s="76" t="s">
        <v>265</v>
      </c>
      <c r="I9" s="77">
        <f>E9</f>
        <v>62</v>
      </c>
      <c r="J9" s="75"/>
      <c r="K9" s="723" t="s">
        <v>267</v>
      </c>
      <c r="L9" s="714"/>
      <c r="M9" s="714"/>
      <c r="N9" s="714"/>
      <c r="P9" s="155"/>
      <c r="Q9" s="155"/>
      <c r="R9" s="71" t="s">
        <v>389</v>
      </c>
      <c r="S9" s="71">
        <v>0</v>
      </c>
      <c r="T9">
        <v>0</v>
      </c>
      <c r="U9">
        <v>0</v>
      </c>
      <c r="Y9">
        <f>IF(Y8&gt;370,0,IF(Y8&gt;220,150-(Y8-220),150))</f>
        <v>142.85618279569894</v>
      </c>
      <c r="Z9" t="s">
        <v>408</v>
      </c>
      <c r="AC9" s="375" t="s">
        <v>412</v>
      </c>
    </row>
    <row r="10" spans="1:46" ht="15.75" thickBot="1">
      <c r="A10" s="78"/>
      <c r="B10" s="157">
        <v>42158</v>
      </c>
      <c r="C10" s="157">
        <v>42219</v>
      </c>
      <c r="D10" s="79" t="s">
        <v>268</v>
      </c>
      <c r="E10" s="80">
        <f>E9/365</f>
        <v>0.16986301369863013</v>
      </c>
      <c r="F10" s="81">
        <f>B10</f>
        <v>42158</v>
      </c>
      <c r="G10" s="81">
        <f>C10</f>
        <v>42219</v>
      </c>
      <c r="H10" s="79" t="s">
        <v>268</v>
      </c>
      <c r="I10" s="82">
        <f>I9/365</f>
        <v>0.16986301369863013</v>
      </c>
      <c r="K10" s="83" t="s">
        <v>253</v>
      </c>
      <c r="L10" s="83" t="s">
        <v>254</v>
      </c>
      <c r="M10" s="83" t="s">
        <v>255</v>
      </c>
      <c r="N10" s="83" t="s">
        <v>256</v>
      </c>
      <c r="P10" s="155"/>
      <c r="Q10" s="155"/>
      <c r="R10" s="71" t="s">
        <v>390</v>
      </c>
      <c r="S10" s="71">
        <v>0</v>
      </c>
      <c r="T10">
        <v>0</v>
      </c>
      <c r="U10">
        <v>0</v>
      </c>
      <c r="Y10">
        <f>IF(Y8&gt;Y9,Y8-Y9,0)</f>
        <v>84.287634408602116</v>
      </c>
      <c r="Z10" t="s">
        <v>409</v>
      </c>
      <c r="AC10" s="375">
        <f>365/12</f>
        <v>30.416666666666668</v>
      </c>
    </row>
    <row r="11" spans="1:46" ht="15.75" thickBot="1">
      <c r="B11" s="84" t="s">
        <v>269</v>
      </c>
      <c r="C11" s="84" t="s">
        <v>270</v>
      </c>
      <c r="D11" s="71" t="s">
        <v>271</v>
      </c>
      <c r="F11" s="85" t="s">
        <v>253</v>
      </c>
      <c r="G11" s="85" t="s">
        <v>254</v>
      </c>
      <c r="H11" s="86" t="s">
        <v>255</v>
      </c>
      <c r="I11" s="86" t="s">
        <v>256</v>
      </c>
      <c r="K11" s="87">
        <v>1800</v>
      </c>
      <c r="L11" s="87">
        <v>2640</v>
      </c>
      <c r="M11" s="87">
        <v>4440</v>
      </c>
      <c r="N11" s="87"/>
      <c r="P11" s="155"/>
      <c r="Q11" s="155"/>
      <c r="R11" s="71" t="s">
        <v>391</v>
      </c>
      <c r="S11" s="71">
        <v>0</v>
      </c>
      <c r="T11">
        <v>1.64E-3</v>
      </c>
      <c r="U11">
        <v>0</v>
      </c>
    </row>
    <row r="12" spans="1:46" ht="15.75" thickBot="1">
      <c r="A12" s="88" t="s">
        <v>251</v>
      </c>
      <c r="B12" s="146">
        <v>4301</v>
      </c>
      <c r="C12" s="152">
        <v>4375</v>
      </c>
      <c r="D12" s="89">
        <f>C12-B12</f>
        <v>74</v>
      </c>
      <c r="E12" s="90"/>
      <c r="F12" s="91">
        <f>(D12*F19)/D15</f>
        <v>48.86771797982189</v>
      </c>
      <c r="G12" s="92">
        <f>(D12*G19)/D15</f>
        <v>22.804935057250212</v>
      </c>
      <c r="H12" s="92">
        <f>(D12*H19)/D15</f>
        <v>2.3273469629278991</v>
      </c>
      <c r="I12" s="93">
        <f>(D12*I19)/D15</f>
        <v>0</v>
      </c>
      <c r="J12" s="94"/>
      <c r="K12" s="95">
        <f>IF($H$26="si",$S$26,IF($C$16&gt;3,$U$26,$T$26))</f>
        <v>0.11321200000000001</v>
      </c>
      <c r="L12" s="95">
        <f>IF($H$26="si",$S$28,IF($C$16&gt;3,$U28,$T28))</f>
        <v>0.16523199999999999</v>
      </c>
      <c r="M12" s="95">
        <f>IF($H$26="si",$S$30,IF($C$16&gt;3,$U$30,$T$30))</f>
        <v>0.23802200000000001</v>
      </c>
      <c r="N12" s="95">
        <f>IF($H$26="si",$S$32,IF($C$16&gt;3,$U$32,$T$32))</f>
        <v>0.23802200000000001</v>
      </c>
      <c r="P12" s="155"/>
      <c r="Q12" s="155"/>
      <c r="R12" s="71" t="s">
        <v>393</v>
      </c>
      <c r="S12" s="71">
        <v>0</v>
      </c>
      <c r="T12">
        <v>9.7599999999999996E-3</v>
      </c>
      <c r="U12">
        <v>0</v>
      </c>
      <c r="X12" s="696" t="s">
        <v>410</v>
      </c>
      <c r="Y12" s="696"/>
      <c r="Z12" s="696"/>
      <c r="AA12" s="696"/>
    </row>
    <row r="13" spans="1:46" ht="16.5" thickBot="1">
      <c r="A13" s="88" t="s">
        <v>257</v>
      </c>
      <c r="B13" s="147">
        <v>5924</v>
      </c>
      <c r="C13" s="153">
        <v>6088</v>
      </c>
      <c r="D13" s="89">
        <f>C13-B13</f>
        <v>164</v>
      </c>
      <c r="E13" s="90"/>
      <c r="F13" s="96">
        <f>(D13*F19)/D15</f>
        <v>108.30142903636202</v>
      </c>
      <c r="G13" s="97">
        <f>(D13*G19)/D15</f>
        <v>50.540666883635602</v>
      </c>
      <c r="H13" s="97">
        <f>(D13*H19)/D15</f>
        <v>5.1579040800023712</v>
      </c>
      <c r="I13" s="98">
        <f>(D13*I19)/D15</f>
        <v>0</v>
      </c>
      <c r="J13" s="94"/>
      <c r="K13" s="95">
        <f>IF($H$26="si",$S$27,IF($C$16&gt;3,$U$27,$T$27))</f>
        <v>0.106492</v>
      </c>
      <c r="L13" s="95">
        <f>IF($H$26="si",$S$29,IF($C$16&gt;3,$U29,$T29))</f>
        <v>0.15851199999999999</v>
      </c>
      <c r="M13" s="95">
        <f>IF($H$26="si",$S$31,IF($C$16&gt;3,$U$31,$T$31))</f>
        <v>0.23130200000000001</v>
      </c>
      <c r="N13" s="95">
        <f>IF($H$26="si",$S$33,IF($C$16&gt;3,$U$33,$T$33))</f>
        <v>0.23130200000000001</v>
      </c>
      <c r="P13" s="155"/>
      <c r="Q13" s="155"/>
      <c r="R13" s="366" t="s">
        <v>401</v>
      </c>
      <c r="S13" s="71">
        <v>0</v>
      </c>
      <c r="T13">
        <v>2.1340000000000001E-2</v>
      </c>
      <c r="U13">
        <v>0</v>
      </c>
      <c r="X13" s="373"/>
      <c r="Y13" s="697">
        <f>Y10*Y7</f>
        <v>171.80821917808214</v>
      </c>
      <c r="Z13" s="697"/>
      <c r="AA13" s="374"/>
    </row>
    <row r="14" spans="1:46" ht="15.75" thickBot="1">
      <c r="A14" s="88" t="s">
        <v>259</v>
      </c>
      <c r="B14" s="148">
        <v>8307</v>
      </c>
      <c r="C14" s="154">
        <v>8532</v>
      </c>
      <c r="D14" s="89">
        <f>C14-B14</f>
        <v>225</v>
      </c>
      <c r="E14" s="90"/>
      <c r="F14" s="99">
        <f>(D14*F19)/D15</f>
        <v>148.58427764135035</v>
      </c>
      <c r="G14" s="100">
        <f>(D14*G19)/D15</f>
        <v>69.339329565963482</v>
      </c>
      <c r="H14" s="100">
        <f>(D14*H19)/D15</f>
        <v>7.07639279268618</v>
      </c>
      <c r="I14" s="101">
        <f>(D14*I19)/D15</f>
        <v>0</v>
      </c>
      <c r="J14" s="94"/>
      <c r="K14" s="102">
        <f>K13</f>
        <v>0.106492</v>
      </c>
      <c r="L14" s="103">
        <f>L13</f>
        <v>0.15851199999999999</v>
      </c>
      <c r="M14" s="103">
        <f>M13</f>
        <v>0.23130200000000001</v>
      </c>
      <c r="N14" s="104">
        <f>N13</f>
        <v>0.23130200000000001</v>
      </c>
      <c r="P14" s="155"/>
      <c r="Q14" s="155"/>
      <c r="R14" s="71" t="s">
        <v>392</v>
      </c>
      <c r="S14" s="71">
        <v>0</v>
      </c>
      <c r="T14">
        <v>2.1340000000000001E-2</v>
      </c>
      <c r="U14">
        <v>0</v>
      </c>
    </row>
    <row r="15" spans="1:46" ht="15.75" thickBot="1">
      <c r="A15" s="105" t="s">
        <v>272</v>
      </c>
      <c r="B15" s="106">
        <f>SUM(B12:B14)</f>
        <v>18532</v>
      </c>
      <c r="C15" s="106">
        <f>SUM(C12:C14)</f>
        <v>18995</v>
      </c>
      <c r="D15" s="97">
        <f>SUM(D12:D14)</f>
        <v>463</v>
      </c>
      <c r="F15" s="107">
        <f>K11*I10</f>
        <v>305.75342465753425</v>
      </c>
      <c r="G15" s="107">
        <f>L11*I10</f>
        <v>448.43835616438355</v>
      </c>
      <c r="H15" s="107">
        <f>M11*I10</f>
        <v>754.19178082191775</v>
      </c>
      <c r="I15" s="107"/>
      <c r="J15" s="108"/>
      <c r="K15" s="109"/>
      <c r="L15" s="110"/>
      <c r="M15" s="110"/>
      <c r="N15" s="111"/>
      <c r="P15" s="155"/>
      <c r="Q15" s="71"/>
      <c r="R15" s="366" t="s">
        <v>399</v>
      </c>
      <c r="S15" s="71">
        <v>-4.0000000000000002E-4</v>
      </c>
      <c r="T15">
        <v>0</v>
      </c>
      <c r="U15">
        <v>0</v>
      </c>
    </row>
    <row r="16" spans="1:46" ht="15.75" customHeight="1" thickBot="1">
      <c r="A16" s="88" t="s">
        <v>251</v>
      </c>
      <c r="B16" s="112" t="s">
        <v>273</v>
      </c>
      <c r="C16" s="149">
        <v>3</v>
      </c>
      <c r="D16" s="113"/>
      <c r="E16" s="90"/>
      <c r="F16" s="114">
        <f t="shared" ref="F16:I18" si="0">F12*K12</f>
        <v>5.5324120879315961</v>
      </c>
      <c r="G16" s="115">
        <f t="shared" si="0"/>
        <v>3.7681050293795666</v>
      </c>
      <c r="H16" s="399">
        <f t="shared" si="0"/>
        <v>0.55395977881002445</v>
      </c>
      <c r="I16" s="116">
        <f t="shared" si="0"/>
        <v>0</v>
      </c>
      <c r="J16" s="117">
        <f>SUM(F16:I16)</f>
        <v>9.8544768961211879</v>
      </c>
      <c r="K16" s="118"/>
      <c r="L16" s="118"/>
      <c r="M16" s="118"/>
      <c r="N16" s="119"/>
      <c r="P16" s="155"/>
      <c r="Q16" s="10"/>
      <c r="R16" s="366" t="s">
        <v>400</v>
      </c>
      <c r="S16">
        <f>1.6091+2.3208</f>
        <v>3.9298999999999999</v>
      </c>
      <c r="T16">
        <f>2.3653+1.2001</f>
        <v>3.5653999999999999</v>
      </c>
      <c r="U16">
        <f>3.4186+1.6091</f>
        <v>5.0277000000000003</v>
      </c>
    </row>
    <row r="17" spans="1:25" ht="15.95" customHeight="1" thickBot="1">
      <c r="A17" s="105" t="s">
        <v>257</v>
      </c>
      <c r="B17" s="120"/>
      <c r="C17" s="120"/>
      <c r="E17" s="90"/>
      <c r="F17" s="121">
        <f t="shared" si="0"/>
        <v>11.533235780940265</v>
      </c>
      <c r="G17" s="122">
        <f t="shared" si="0"/>
        <v>8.0113021890588456</v>
      </c>
      <c r="H17" s="122">
        <f t="shared" si="0"/>
        <v>1.1930335295127086</v>
      </c>
      <c r="I17" s="123">
        <f t="shared" si="0"/>
        <v>0</v>
      </c>
      <c r="J17" s="117">
        <f>SUM(F17:I17)</f>
        <v>20.737571499511819</v>
      </c>
      <c r="K17" s="124" t="s">
        <v>274</v>
      </c>
      <c r="L17" s="124"/>
      <c r="M17" s="125" t="s">
        <v>275</v>
      </c>
      <c r="N17" s="126">
        <f>IF(H26="si",S24,IF(C16&gt;3,U24,T24))</f>
        <v>42.784799999999997</v>
      </c>
      <c r="P17" s="71"/>
      <c r="R17" s="71" t="s">
        <v>394</v>
      </c>
      <c r="S17">
        <f>1.2884+0.0345</f>
        <v>1.3229</v>
      </c>
      <c r="T17">
        <v>0.83799999999999997</v>
      </c>
      <c r="U17">
        <v>1.8075000000000001</v>
      </c>
    </row>
    <row r="18" spans="1:25" ht="15.95" customHeight="1" thickBot="1">
      <c r="A18" s="105" t="s">
        <v>259</v>
      </c>
      <c r="B18" s="127" t="s">
        <v>274</v>
      </c>
      <c r="C18" s="122">
        <f>N17*I10</f>
        <v>7.2675550684931496</v>
      </c>
      <c r="E18" s="90"/>
      <c r="F18" s="128">
        <f t="shared" si="0"/>
        <v>15.823036894582682</v>
      </c>
      <c r="G18" s="129">
        <f t="shared" si="0"/>
        <v>10.991115808160002</v>
      </c>
      <c r="H18" s="129">
        <f t="shared" si="0"/>
        <v>1.6367838057338988</v>
      </c>
      <c r="I18" s="130">
        <f t="shared" si="0"/>
        <v>0</v>
      </c>
      <c r="J18" s="117">
        <f>SUM(F18:I18)</f>
        <v>28.45093650847658</v>
      </c>
      <c r="K18" s="730" t="s">
        <v>276</v>
      </c>
      <c r="L18" s="730"/>
      <c r="M18" s="125" t="s">
        <v>277</v>
      </c>
      <c r="N18" s="126">
        <f>IF(H26="si",S17,IF(C16&gt;3,U17*12,T17*12))</f>
        <v>10.055999999999999</v>
      </c>
      <c r="P18" s="71"/>
      <c r="R18" s="71" t="s">
        <v>395</v>
      </c>
      <c r="S18">
        <v>1.857E-2</v>
      </c>
      <c r="T18">
        <f>0.00716+0.039402</f>
        <v>4.6561999999999999E-2</v>
      </c>
      <c r="U18">
        <f>0.02617+0.082592</f>
        <v>0.108762</v>
      </c>
    </row>
    <row r="19" spans="1:25" ht="15.75" thickBot="1">
      <c r="A19" s="105" t="s">
        <v>272</v>
      </c>
      <c r="B19" s="127" t="s">
        <v>276</v>
      </c>
      <c r="C19" s="122">
        <f>(N18*I10)*C16</f>
        <v>5.1244273972602734</v>
      </c>
      <c r="F19" s="107">
        <f>IF((D15&lt;F15),D15,F15)</f>
        <v>305.75342465753425</v>
      </c>
      <c r="G19" s="107">
        <f>IF((D15&lt;G15),(D15-F19),(G15-F15))</f>
        <v>142.6849315068493</v>
      </c>
      <c r="H19" s="107">
        <f>IF((D15&lt;H15),(D15-SUM(F19:G19)),(H15-SUM(F19:G19)))</f>
        <v>14.561643835616451</v>
      </c>
      <c r="I19" s="107">
        <f>IF((D15&lt;H15),0,(D15-SUM(F19:H19)))</f>
        <v>0</v>
      </c>
      <c r="J19" s="131">
        <f>SUM(J16:J18)</f>
        <v>59.042984904109588</v>
      </c>
      <c r="K19" s="730" t="s">
        <v>278</v>
      </c>
      <c r="L19" s="730"/>
      <c r="M19" s="125" t="s">
        <v>279</v>
      </c>
      <c r="N19" s="126">
        <v>2.2700000000000001E-2</v>
      </c>
      <c r="R19" s="71" t="s">
        <v>396</v>
      </c>
      <c r="S19">
        <v>1.857E-2</v>
      </c>
      <c r="T19">
        <f>0.03266+0.057802</f>
        <v>9.0462000000000001E-2</v>
      </c>
      <c r="U19">
        <f>0.04259+0.082592</f>
        <v>0.12518200000000002</v>
      </c>
      <c r="Y19" s="400" t="s">
        <v>422</v>
      </c>
    </row>
    <row r="20" spans="1:25" ht="15.75" thickBot="1">
      <c r="B20" s="127" t="s">
        <v>278</v>
      </c>
      <c r="C20" s="122">
        <f>IF(C16&gt;3,N19*D15,N19*Y13)</f>
        <v>3.9000465753424649</v>
      </c>
      <c r="E20" s="90"/>
      <c r="F20" s="132">
        <f>F19*K15</f>
        <v>0</v>
      </c>
      <c r="G20" s="133">
        <f>G19*L15</f>
        <v>0</v>
      </c>
      <c r="H20" s="133">
        <f>H19*M15</f>
        <v>0</v>
      </c>
      <c r="I20" s="134">
        <f>I19*N15</f>
        <v>0</v>
      </c>
      <c r="J20" s="117">
        <f>SUM(F20:I20)</f>
        <v>0</v>
      </c>
      <c r="K20" s="730" t="s">
        <v>280</v>
      </c>
      <c r="L20" s="730"/>
      <c r="M20" s="125" t="s">
        <v>279</v>
      </c>
      <c r="N20" s="126">
        <v>0</v>
      </c>
      <c r="R20" s="71" t="s">
        <v>397</v>
      </c>
      <c r="S20">
        <v>1.857E-2</v>
      </c>
      <c r="T20">
        <f>0.06908+0.082592</f>
        <v>0.151672</v>
      </c>
      <c r="U20">
        <f t="shared" ref="U20:U21" si="1">0.04259+0.082592</f>
        <v>0.12518200000000002</v>
      </c>
      <c r="Y20" t="s">
        <v>353</v>
      </c>
    </row>
    <row r="21" spans="1:25" ht="15.75" thickBot="1">
      <c r="B21" s="127" t="s">
        <v>281</v>
      </c>
      <c r="C21" s="122">
        <f>N20*D15</f>
        <v>0</v>
      </c>
      <c r="D21" s="135"/>
      <c r="E21" s="135"/>
      <c r="F21" s="136"/>
      <c r="G21" s="136"/>
      <c r="H21" s="137"/>
      <c r="I21" s="137"/>
      <c r="K21" s="97"/>
      <c r="L21" s="97"/>
      <c r="N21" s="728" t="s">
        <v>418</v>
      </c>
      <c r="R21" s="71" t="s">
        <v>398</v>
      </c>
      <c r="S21">
        <v>1.857E-2</v>
      </c>
      <c r="T21">
        <f>0.082592+0.06908</f>
        <v>0.151672</v>
      </c>
      <c r="U21">
        <f t="shared" si="1"/>
        <v>0.12518200000000002</v>
      </c>
      <c r="Y21" t="s">
        <v>354</v>
      </c>
    </row>
    <row r="22" spans="1:25" ht="15.75" customHeight="1" thickBot="1">
      <c r="B22" s="127" t="s">
        <v>282</v>
      </c>
      <c r="C22" s="138">
        <f>IF((D22="Bioraria"),J19,J20)</f>
        <v>59.042984904109588</v>
      </c>
      <c r="D22" s="724" t="s">
        <v>283</v>
      </c>
      <c r="E22" s="725"/>
      <c r="F22" s="139" t="s">
        <v>284</v>
      </c>
      <c r="G22" s="90"/>
      <c r="H22" s="726" t="s">
        <v>285</v>
      </c>
      <c r="I22" s="727"/>
      <c r="J22" s="140"/>
      <c r="K22" s="719" t="s">
        <v>313</v>
      </c>
      <c r="L22" s="720"/>
      <c r="M22"/>
      <c r="N22" s="729"/>
    </row>
    <row r="23" spans="1:25" ht="15.75" thickBot="1">
      <c r="B23" s="127" t="s">
        <v>287</v>
      </c>
      <c r="C23" s="122">
        <f>SUM(C18:C22)</f>
        <v>75.335013945205475</v>
      </c>
      <c r="D23" s="120"/>
      <c r="E23" s="120"/>
      <c r="F23" s="141">
        <v>0.1</v>
      </c>
      <c r="G23" s="90"/>
      <c r="H23" s="706">
        <f>C23*(1+F23)</f>
        <v>82.868515339726031</v>
      </c>
      <c r="I23" s="707"/>
      <c r="J23" s="140"/>
      <c r="K23" s="163" t="s">
        <v>312</v>
      </c>
      <c r="L23" s="164">
        <f>H23/D15</f>
        <v>0.17898167459984024</v>
      </c>
      <c r="M23"/>
      <c r="N23">
        <f>D15*6</f>
        <v>2778</v>
      </c>
    </row>
    <row r="24" spans="1:25" ht="17.25" customHeight="1" thickBot="1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142"/>
      <c r="L24" s="142"/>
      <c r="M24" s="73"/>
      <c r="N24"/>
      <c r="R24" s="71" t="s">
        <v>402</v>
      </c>
      <c r="S24">
        <f>(S5+S6+S16)*12</f>
        <v>47.158799999999999</v>
      </c>
      <c r="T24">
        <f>(T5+T6+T16)*12</f>
        <v>42.784799999999997</v>
      </c>
      <c r="U24">
        <f>(U5+U6+U16)*12</f>
        <v>60.332400000000007</v>
      </c>
    </row>
    <row r="25" spans="1:25" ht="16.5" thickTop="1" thickBot="1">
      <c r="A25" s="143"/>
      <c r="B25" s="713" t="s">
        <v>288</v>
      </c>
      <c r="C25" s="714"/>
      <c r="D25" s="401"/>
      <c r="E25" s="401"/>
      <c r="F25" s="401"/>
      <c r="G25" s="401"/>
      <c r="H25" s="715">
        <f>H23</f>
        <v>82.868515339726031</v>
      </c>
      <c r="I25" s="716"/>
      <c r="J25" s="143"/>
      <c r="K25" s="143"/>
      <c r="L25" s="143"/>
      <c r="M25" s="143"/>
      <c r="N25" s="143"/>
      <c r="R25" s="71"/>
    </row>
    <row r="26" spans="1:25" ht="15.75" thickTop="1">
      <c r="A26" s="75"/>
      <c r="B26" s="683" t="s">
        <v>423</v>
      </c>
      <c r="C26" s="731"/>
      <c r="D26" s="731"/>
      <c r="E26" s="731"/>
      <c r="F26" s="731"/>
      <c r="G26" s="732"/>
      <c r="H26" s="668" t="s">
        <v>354</v>
      </c>
      <c r="I26" s="402"/>
      <c r="J26" s="402"/>
      <c r="K26" s="717" t="s">
        <v>419</v>
      </c>
      <c r="L26" s="718"/>
      <c r="M26" s="718"/>
      <c r="N26" s="403">
        <f>H23*6</f>
        <v>497.21109203835618</v>
      </c>
      <c r="R26" s="71" t="s">
        <v>413</v>
      </c>
      <c r="S26">
        <f>S7+S9+S11+S18+S15</f>
        <v>8.3180000000000004E-2</v>
      </c>
      <c r="T26">
        <f>T7+T9+T11+T18+T15</f>
        <v>0.11321200000000001</v>
      </c>
      <c r="U26">
        <f>U7+U9+U11+U18+U15</f>
        <v>0.17377199999999998</v>
      </c>
    </row>
    <row r="27" spans="1:25" ht="15.75" thickBot="1">
      <c r="A27" s="145"/>
      <c r="B27" s="733"/>
      <c r="C27" s="734"/>
      <c r="D27" s="734"/>
      <c r="E27" s="734"/>
      <c r="F27" s="734"/>
      <c r="G27" s="735"/>
      <c r="H27" s="669"/>
      <c r="K27" s="145"/>
      <c r="L27" s="145"/>
      <c r="M27" s="145"/>
      <c r="N27" s="145"/>
      <c r="R27" s="71" t="s">
        <v>414</v>
      </c>
      <c r="S27">
        <f>S8+S10+S11+S18+S15</f>
        <v>7.646E-2</v>
      </c>
      <c r="T27">
        <f>T8+T10+T11+T18+T15</f>
        <v>0.106492</v>
      </c>
      <c r="U27">
        <f>U8+U10+U11+U18+U15</f>
        <v>0.16705200000000001</v>
      </c>
    </row>
    <row r="28" spans="1:25" ht="15.75" thickTop="1">
      <c r="A28"/>
      <c r="E28"/>
      <c r="G28" s="145"/>
      <c r="H28"/>
      <c r="I28"/>
      <c r="O28" s="144"/>
      <c r="R28" s="71" t="s">
        <v>415</v>
      </c>
      <c r="S28" s="378">
        <f>S7+S9+S12+S19+S$15</f>
        <v>8.3180000000000004E-2</v>
      </c>
      <c r="T28" s="378">
        <f>T7+T9+T12+T19+T$15</f>
        <v>0.16523199999999999</v>
      </c>
      <c r="U28" s="378">
        <f>U7+U9+U12+U19+U$15</f>
        <v>0.19019200000000003</v>
      </c>
    </row>
    <row r="29" spans="1:25">
      <c r="G29" s="145"/>
      <c r="R29" s="71" t="s">
        <v>416</v>
      </c>
      <c r="S29" s="378">
        <f>S8+S10+S12+S19+S$15</f>
        <v>7.646E-2</v>
      </c>
      <c r="T29" s="378">
        <f>T8+T10+T12+T19+T$15</f>
        <v>0.15851199999999999</v>
      </c>
      <c r="U29" s="378">
        <f>U8+U10+U12+U19+U$15</f>
        <v>0.18347200000000002</v>
      </c>
    </row>
    <row r="30" spans="1:25">
      <c r="R30" s="71" t="s">
        <v>417</v>
      </c>
      <c r="S30" s="378">
        <f>S7+S9+S13+S20+S$15</f>
        <v>8.3180000000000004E-2</v>
      </c>
      <c r="T30" s="378">
        <f>T7+T9+T13+T20+T$15</f>
        <v>0.23802200000000001</v>
      </c>
      <c r="U30" s="378">
        <f>U7+U9+U13+U20+U$15</f>
        <v>0.19019200000000003</v>
      </c>
    </row>
    <row r="31" spans="1:25">
      <c r="R31" s="71" t="s">
        <v>414</v>
      </c>
      <c r="S31" s="378">
        <f>S8+S13+S14+S10+S$15+S20</f>
        <v>7.646E-2</v>
      </c>
      <c r="T31" s="378">
        <f>T8+T13+T10+T$15+T20</f>
        <v>0.23130200000000001</v>
      </c>
      <c r="U31" s="378">
        <f>U8+U13+U10+U$15+U20</f>
        <v>0.18347200000000002</v>
      </c>
    </row>
    <row r="32" spans="1:25">
      <c r="R32" s="71" t="s">
        <v>415</v>
      </c>
      <c r="S32" s="378">
        <f>S9+S14+S7+S21+S$15</f>
        <v>8.3180000000000004E-2</v>
      </c>
      <c r="T32" s="378">
        <f>T9+T14+T7+T21+T$15</f>
        <v>0.23802200000000001</v>
      </c>
      <c r="U32" s="378">
        <f>U9+U14+U7+U21+U$15</f>
        <v>0.19019200000000003</v>
      </c>
    </row>
    <row r="33" spans="18:27">
      <c r="R33" s="71" t="s">
        <v>416</v>
      </c>
      <c r="S33" s="378">
        <f>S10+S8+S14++S$15+S21</f>
        <v>7.646E-2</v>
      </c>
      <c r="T33" s="378">
        <f>T10+T8+T14++T$15+T21</f>
        <v>0.23130200000000001</v>
      </c>
      <c r="U33" s="378">
        <f>U10+U8+U14++U$15+U21</f>
        <v>0.18347200000000002</v>
      </c>
    </row>
    <row r="34" spans="18:27">
      <c r="R34" s="71"/>
    </row>
    <row r="37" spans="18:27">
      <c r="Y37" s="52"/>
    </row>
    <row r="41" spans="18:27">
      <c r="AA41" s="52"/>
    </row>
    <row r="42" spans="18:27">
      <c r="AA42" s="52"/>
    </row>
    <row r="43" spans="18:27">
      <c r="Y43" s="52"/>
      <c r="AA43" s="52"/>
    </row>
    <row r="44" spans="18:27">
      <c r="Y44" s="52"/>
      <c r="AA44" s="52"/>
    </row>
    <row r="45" spans="18:27">
      <c r="Y45" s="52"/>
      <c r="AA45" s="52"/>
    </row>
    <row r="46" spans="18:27">
      <c r="Y46" s="52"/>
      <c r="AA46" s="52"/>
    </row>
    <row r="47" spans="18:27">
      <c r="Y47" s="52"/>
      <c r="AA47" s="52"/>
    </row>
    <row r="48" spans="18:27">
      <c r="Y48" s="52"/>
      <c r="AA48" s="52"/>
    </row>
    <row r="49" spans="25:27">
      <c r="Y49" s="52"/>
      <c r="AA49" s="52"/>
    </row>
    <row r="50" spans="25:27">
      <c r="Y50" s="52"/>
      <c r="AA50" s="52"/>
    </row>
    <row r="51" spans="25:27">
      <c r="Y51" s="52"/>
      <c r="AA51" s="52"/>
    </row>
    <row r="52" spans="25:27">
      <c r="Y52" s="52"/>
      <c r="AA52" s="52"/>
    </row>
    <row r="53" spans="25:27">
      <c r="Y53" s="52"/>
      <c r="AA53" s="52"/>
    </row>
    <row r="54" spans="25:27">
      <c r="Y54" s="52"/>
      <c r="AA54" s="52"/>
    </row>
    <row r="55" spans="25:27">
      <c r="Y55" s="52"/>
      <c r="AA55" s="52"/>
    </row>
    <row r="56" spans="25:27">
      <c r="Y56" s="52"/>
      <c r="AA56" s="52"/>
    </row>
    <row r="57" spans="25:27">
      <c r="Y57" s="52"/>
      <c r="AA57" s="52"/>
    </row>
    <row r="58" spans="25:27">
      <c r="Y58" s="52"/>
      <c r="Z58" s="52"/>
      <c r="AA58" s="52"/>
    </row>
    <row r="59" spans="25:27">
      <c r="Y59" s="52"/>
      <c r="Z59" s="52"/>
      <c r="AA59" s="52"/>
    </row>
    <row r="60" spans="25:27">
      <c r="Z60" s="52"/>
      <c r="AA60" s="52"/>
    </row>
    <row r="61" spans="25:27">
      <c r="Z61" s="52"/>
      <c r="AA61" s="52"/>
    </row>
    <row r="62" spans="25:27">
      <c r="Z62" s="52"/>
      <c r="AA62" s="52"/>
    </row>
    <row r="63" spans="25:27">
      <c r="Z63" s="52"/>
      <c r="AA63" s="52"/>
    </row>
    <row r="64" spans="25:27">
      <c r="Z64" s="52"/>
      <c r="AA64" s="52"/>
    </row>
    <row r="65" spans="25:27">
      <c r="Z65" s="52"/>
      <c r="AA65" s="52"/>
    </row>
    <row r="66" spans="25:27">
      <c r="Z66" s="52"/>
      <c r="AA66" s="52"/>
    </row>
    <row r="67" spans="25:27">
      <c r="Z67" s="52"/>
      <c r="AA67" s="52"/>
    </row>
    <row r="68" spans="25:27">
      <c r="AA68" s="52"/>
    </row>
    <row r="70" spans="25:27">
      <c r="Y70" s="52"/>
    </row>
  </sheetData>
  <sheetProtection password="D42B" sheet="1" objects="1" scenarios="1"/>
  <protectedRanges>
    <protectedRange sqref="K5:N5" name="Intervallo6"/>
    <protectedRange sqref="B12:C14" name="Intervallo2"/>
    <protectedRange sqref="C16" name="Intervallo1"/>
    <protectedRange sqref="H26" name="Intervallo3"/>
  </protectedRanges>
  <mergeCells count="31">
    <mergeCell ref="B4:F4"/>
    <mergeCell ref="A1:N1"/>
    <mergeCell ref="B25:C25"/>
    <mergeCell ref="H25:I25"/>
    <mergeCell ref="K26:M26"/>
    <mergeCell ref="K22:L22"/>
    <mergeCell ref="B9:C9"/>
    <mergeCell ref="F9:G9"/>
    <mergeCell ref="K9:N9"/>
    <mergeCell ref="D22:E22"/>
    <mergeCell ref="H22:I22"/>
    <mergeCell ref="N21:N22"/>
    <mergeCell ref="K18:L18"/>
    <mergeCell ref="K19:L19"/>
    <mergeCell ref="K20:L20"/>
    <mergeCell ref="B26:G27"/>
    <mergeCell ref="H26:H27"/>
    <mergeCell ref="X3:AA3"/>
    <mergeCell ref="X12:AA12"/>
    <mergeCell ref="Y13:Z13"/>
    <mergeCell ref="K3:N3"/>
    <mergeCell ref="K7:N7"/>
    <mergeCell ref="K5:N5"/>
    <mergeCell ref="I4:J4"/>
    <mergeCell ref="H3:I3"/>
    <mergeCell ref="H23:I23"/>
    <mergeCell ref="B7:C7"/>
    <mergeCell ref="F7:I7"/>
    <mergeCell ref="I5:J5"/>
    <mergeCell ref="I6:J6"/>
    <mergeCell ref="B5:F5"/>
  </mergeCells>
  <phoneticPr fontId="2" type="noConversion"/>
  <dataValidations count="6">
    <dataValidation type="list" allowBlank="1" showInputMessage="1" showErrorMessage="1" sqref="H26">
      <formula1>$Y$20:$Y$21</formula1>
    </dataValidation>
    <dataValidation type="textLength" allowBlank="1" showInputMessage="1" showErrorMessage="1" sqref="AK3:IP8 A2:A1048576 Z2:AJ25 B3:C9 Y22:Y25 C17:C25 E29:G31 D2:J25 D28:D31 Y2:Y18 J28:J1048576 H29:I1048576 B28:C65538 B15:B25 V26:IP1048576 D32:G1048576 C15 V1:AI1 B11:C11 AK16:IQ23 AK24:IP25 AK9:IQ14 AK15:IP15 O1:R1048576 V2:X25">
      <formula1>10000</formula1>
      <formula2>10000</formula2>
    </dataValidation>
    <dataValidation type="whole" allowBlank="1" showInputMessage="1" showErrorMessage="1" sqref="B12:C14">
      <formula1>100</formula1>
      <formula2>100000</formula2>
    </dataValidation>
    <dataValidation type="date" allowBlank="1" showInputMessage="1" showErrorMessage="1" sqref="B10">
      <formula1>10000</formula1>
      <formula2>10000</formula2>
    </dataValidation>
    <dataValidation type="date" allowBlank="1" showInputMessage="1" showErrorMessage="1" sqref="C10">
      <formula1>40316</formula1>
      <formula2>43969</formula2>
    </dataValidation>
    <dataValidation type="decimal" allowBlank="1" showInputMessage="1" showErrorMessage="1" sqref="C16">
      <formula1>3</formula1>
      <formula2>10</formula2>
    </dataValidation>
  </dataValidations>
  <printOptions horizontalCentered="1" verticalCentered="1"/>
  <pageMargins left="0.59055118110236227" right="0.35433070866141736" top="0.63541666666666663" bottom="0.62992125984251968" header="0.33" footer="0.55118110236220474"/>
  <pageSetup paperSize="9" orientation="landscape" r:id="rId1"/>
  <headerFooter alignWithMargins="0">
    <oddHeader>&amp;Ctratto da www.solar-power24.eu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1"/>
  <dimension ref="A1:AAA999"/>
  <sheetViews>
    <sheetView tabSelected="1" topLeftCell="A35" workbookViewId="0">
      <selection activeCell="D35" sqref="D35"/>
    </sheetView>
  </sheetViews>
  <sheetFormatPr defaultRowHeight="14.25"/>
  <cols>
    <col min="1" max="1" width="34.7109375" customWidth="1"/>
    <col min="2" max="2" width="12.7109375" customWidth="1"/>
    <col min="3" max="3" width="1.7109375" customWidth="1"/>
    <col min="4" max="4" width="12.7109375" customWidth="1"/>
    <col min="5" max="5" width="34.7109375" customWidth="1"/>
    <col min="6" max="6" width="2.5703125" customWidth="1"/>
    <col min="7" max="7" width="2.28515625" customWidth="1"/>
    <col min="8" max="8" width="5.85546875" customWidth="1"/>
    <col min="9" max="11" width="13.7109375" hidden="1" customWidth="1"/>
    <col min="12" max="14" width="13.7109375" customWidth="1"/>
    <col min="15" max="15" width="23.28515625" customWidth="1"/>
    <col min="16" max="16" width="18.42578125" hidden="1" customWidth="1"/>
    <col min="17" max="17" width="20.85546875" hidden="1" customWidth="1"/>
    <col min="18" max="19" width="15.7109375" hidden="1" customWidth="1"/>
    <col min="20" max="20" width="8.85546875" hidden="1" customWidth="1"/>
    <col min="21" max="21" width="10.5703125" hidden="1" customWidth="1"/>
    <col min="22" max="22" width="6.5703125" hidden="1" customWidth="1"/>
    <col min="23" max="23" width="11.7109375" hidden="1" customWidth="1"/>
    <col min="24" max="24" width="14" style="50" hidden="1" customWidth="1"/>
    <col min="25" max="25" width="11.7109375" style="51" hidden="1" customWidth="1"/>
    <col min="26" max="26" width="15" hidden="1" customWidth="1"/>
    <col min="27" max="27" width="11.42578125" hidden="1" customWidth="1"/>
    <col min="28" max="28" width="11.42578125" style="52" hidden="1" customWidth="1"/>
    <col min="29" max="29" width="22.140625" hidden="1" customWidth="1"/>
    <col min="30" max="30" width="15.5703125" style="51" hidden="1" customWidth="1"/>
    <col min="31" max="31" width="9.140625" hidden="1" customWidth="1"/>
    <col min="32" max="32" width="34.5703125" hidden="1" customWidth="1"/>
    <col min="33" max="33" width="17" customWidth="1"/>
    <col min="34" max="34" width="20.5703125" customWidth="1"/>
    <col min="35" max="35" width="9.140625" customWidth="1"/>
    <col min="36" max="36" width="18.5703125" style="9" customWidth="1"/>
    <col min="37" max="37" width="12.42578125" customWidth="1"/>
    <col min="39" max="39" width="18.42578125" customWidth="1"/>
    <col min="40" max="40" width="13" customWidth="1"/>
    <col min="41" max="41" width="18.5703125" customWidth="1"/>
  </cols>
  <sheetData>
    <row r="1" spans="1:36" ht="30" customHeight="1" thickTop="1">
      <c r="A1" s="780" t="s">
        <v>151</v>
      </c>
      <c r="B1" s="781"/>
      <c r="C1" s="781"/>
      <c r="D1" s="781"/>
      <c r="E1" s="782"/>
      <c r="H1" s="783" t="s">
        <v>434</v>
      </c>
      <c r="I1" s="784"/>
      <c r="J1" s="784"/>
      <c r="K1" s="784"/>
      <c r="L1" s="784"/>
      <c r="M1" s="784"/>
      <c r="N1" s="785"/>
      <c r="W1" t="s">
        <v>355</v>
      </c>
      <c r="Z1" s="5"/>
      <c r="AA1" s="5"/>
      <c r="AJ1" s="479"/>
    </row>
    <row r="2" spans="1:36" ht="20.100000000000001" customHeight="1" thickBot="1">
      <c r="A2" s="798" t="s">
        <v>429</v>
      </c>
      <c r="B2" s="799"/>
      <c r="C2" s="799"/>
      <c r="D2" s="799"/>
      <c r="E2" s="800"/>
      <c r="H2" s="786"/>
      <c r="I2" s="787"/>
      <c r="J2" s="787"/>
      <c r="K2" s="787"/>
      <c r="L2" s="787"/>
      <c r="M2" s="787"/>
      <c r="N2" s="788"/>
      <c r="W2" t="s">
        <v>355</v>
      </c>
      <c r="Z2" s="5"/>
      <c r="AA2" s="5"/>
    </row>
    <row r="3" spans="1:36" ht="24.95" customHeight="1" thickBot="1">
      <c r="A3" s="801"/>
      <c r="B3" s="790" t="s">
        <v>149</v>
      </c>
      <c r="C3" s="791"/>
      <c r="D3" s="792"/>
      <c r="E3" s="803" t="s">
        <v>1</v>
      </c>
      <c r="H3" s="30"/>
      <c r="I3" s="30"/>
      <c r="J3" s="31"/>
      <c r="K3" s="16"/>
      <c r="T3" s="64"/>
      <c r="W3" t="s">
        <v>353</v>
      </c>
    </row>
    <row r="4" spans="1:36" ht="24.95" customHeight="1" thickBot="1">
      <c r="A4" s="802"/>
      <c r="B4" s="790"/>
      <c r="C4" s="791"/>
      <c r="D4" s="792"/>
      <c r="E4" s="804"/>
      <c r="F4" s="5"/>
      <c r="H4" s="768" t="s">
        <v>14</v>
      </c>
      <c r="I4" s="807" t="s">
        <v>17</v>
      </c>
      <c r="J4" s="808"/>
      <c r="K4" s="809"/>
      <c r="L4" s="796" t="s">
        <v>18</v>
      </c>
      <c r="M4" s="805" t="s">
        <v>20</v>
      </c>
      <c r="N4" s="806"/>
      <c r="T4" s="64">
        <v>0.2</v>
      </c>
      <c r="W4" t="s">
        <v>354</v>
      </c>
    </row>
    <row r="5" spans="1:36" ht="24.95" customHeight="1" thickBot="1">
      <c r="A5" s="2" t="s">
        <v>155</v>
      </c>
      <c r="B5" s="767">
        <f>'GUIDA dimensionamento ACCUMULO'!B11</f>
        <v>4</v>
      </c>
      <c r="C5" s="778"/>
      <c r="D5" s="779"/>
      <c r="E5" s="793" t="s">
        <v>315</v>
      </c>
      <c r="F5" s="6"/>
      <c r="H5" s="769"/>
      <c r="I5" s="26" t="s">
        <v>15</v>
      </c>
      <c r="J5" s="25" t="s">
        <v>16</v>
      </c>
      <c r="K5" s="27" t="s">
        <v>8</v>
      </c>
      <c r="L5" s="797"/>
      <c r="M5" s="28" t="s">
        <v>7</v>
      </c>
      <c r="N5" s="11" t="s">
        <v>19</v>
      </c>
      <c r="T5" s="64">
        <v>0.25</v>
      </c>
      <c r="Z5">
        <v>0.09</v>
      </c>
    </row>
    <row r="6" spans="1:36" ht="24.95" customHeight="1" thickBot="1">
      <c r="A6" s="2" t="s">
        <v>154</v>
      </c>
      <c r="B6" s="767">
        <f>'GUIDA dimensionamento ACCUMULO'!B12</f>
        <v>0</v>
      </c>
      <c r="C6" s="746"/>
      <c r="D6" s="747"/>
      <c r="E6" s="794"/>
      <c r="F6" s="8"/>
      <c r="H6" s="12"/>
      <c r="I6" s="15"/>
      <c r="J6" s="55">
        <f>B17</f>
        <v>8954</v>
      </c>
      <c r="K6" s="13"/>
      <c r="L6" s="14"/>
      <c r="M6" s="24">
        <f>-B17</f>
        <v>-8954</v>
      </c>
      <c r="N6" s="13"/>
      <c r="T6" s="64">
        <v>0.3</v>
      </c>
      <c r="Z6">
        <f>Z5+0.01</f>
        <v>9.9999999999999992E-2</v>
      </c>
    </row>
    <row r="7" spans="1:36" ht="24.95" customHeight="1" thickBot="1">
      <c r="A7" s="2" t="s">
        <v>311</v>
      </c>
      <c r="B7" s="767" t="str">
        <f>'GUIDA dimensionamento ACCUMULO'!B8</f>
        <v>Roma</v>
      </c>
      <c r="C7" s="746"/>
      <c r="D7" s="747"/>
      <c r="E7" s="795"/>
      <c r="F7" s="8"/>
      <c r="G7" s="5"/>
      <c r="H7" s="32">
        <v>1</v>
      </c>
      <c r="L7" s="23">
        <f>B41</f>
        <v>764.81712910766669</v>
      </c>
      <c r="M7" s="23">
        <f>SUM(L7)</f>
        <v>764.81712910766669</v>
      </c>
      <c r="N7" s="23">
        <f>(M7+M6)</f>
        <v>-8189.1828708923331</v>
      </c>
      <c r="O7" s="5"/>
      <c r="P7" s="5"/>
      <c r="Q7" s="5"/>
      <c r="R7" s="5"/>
      <c r="S7" s="5"/>
      <c r="T7" s="64">
        <v>0.35</v>
      </c>
      <c r="Z7">
        <f t="shared" ref="Z7:Z12" si="0">Z6+0.01</f>
        <v>0.10999999999999999</v>
      </c>
    </row>
    <row r="8" spans="1:36" ht="24.95" customHeight="1" thickBot="1">
      <c r="A8" s="165" t="s">
        <v>319</v>
      </c>
      <c r="B8" s="789">
        <v>1900</v>
      </c>
      <c r="C8" s="746"/>
      <c r="D8" s="747"/>
      <c r="E8" s="3" t="s">
        <v>208</v>
      </c>
      <c r="G8" s="6"/>
      <c r="H8" s="32">
        <v>2</v>
      </c>
      <c r="L8" s="23">
        <f t="shared" ref="L8:L17" si="1">$L$7-$Q$11+$B$38</f>
        <v>1211.5251291076668</v>
      </c>
      <c r="M8" s="23">
        <f>L8</f>
        <v>1211.5251291076668</v>
      </c>
      <c r="N8" s="23">
        <f t="shared" ref="N8:N13" si="2">(M8+N7)</f>
        <v>-6977.6577417846665</v>
      </c>
      <c r="O8" s="6"/>
      <c r="P8" s="6"/>
      <c r="Q8" s="6"/>
      <c r="R8" s="6"/>
      <c r="S8" s="6"/>
      <c r="T8" s="64">
        <v>0.4</v>
      </c>
      <c r="Z8">
        <f t="shared" si="0"/>
        <v>0.11999999999999998</v>
      </c>
      <c r="AE8" s="6"/>
      <c r="AF8" s="6"/>
      <c r="AG8" s="6"/>
    </row>
    <row r="9" spans="1:36" ht="24.95" customHeight="1" thickBot="1">
      <c r="A9" s="2" t="s">
        <v>316</v>
      </c>
      <c r="B9" s="766">
        <v>0.3</v>
      </c>
      <c r="C9" s="746"/>
      <c r="D9" s="747"/>
      <c r="E9" s="44" t="s">
        <v>323</v>
      </c>
      <c r="F9" s="8"/>
      <c r="G9" s="7"/>
      <c r="H9" s="32">
        <v>3</v>
      </c>
      <c r="L9" s="23">
        <f t="shared" si="1"/>
        <v>1211.5251291076668</v>
      </c>
      <c r="M9" s="23">
        <f>L9</f>
        <v>1211.5251291076668</v>
      </c>
      <c r="N9" s="23">
        <f t="shared" si="2"/>
        <v>-5766.132612677</v>
      </c>
      <c r="O9" s="7"/>
      <c r="P9" s="7"/>
      <c r="Q9" s="7"/>
      <c r="R9" s="7"/>
      <c r="S9" s="7"/>
      <c r="T9" s="64">
        <v>0.45</v>
      </c>
      <c r="Z9">
        <f t="shared" si="0"/>
        <v>0.12999999999999998</v>
      </c>
    </row>
    <row r="10" spans="1:36" ht="24.95" customHeight="1" thickBot="1">
      <c r="A10" s="2" t="s">
        <v>10</v>
      </c>
      <c r="B10" s="777">
        <f>'GUIDA dimensionamento ACCUMULO'!B20</f>
        <v>5176.3599999999997</v>
      </c>
      <c r="C10" s="778"/>
      <c r="D10" s="779"/>
      <c r="E10" s="172"/>
      <c r="F10" s="8"/>
      <c r="G10" s="6"/>
      <c r="H10" s="32">
        <v>4</v>
      </c>
      <c r="L10" s="23">
        <f t="shared" si="1"/>
        <v>1211.5251291076668</v>
      </c>
      <c r="M10" s="23">
        <f>L10</f>
        <v>1211.5251291076668</v>
      </c>
      <c r="N10" s="23">
        <f t="shared" si="2"/>
        <v>-4554.6074835693335</v>
      </c>
      <c r="O10" s="6"/>
      <c r="P10" s="6"/>
      <c r="Q10" s="6"/>
      <c r="R10" s="6"/>
      <c r="S10" s="6"/>
      <c r="W10" s="50"/>
      <c r="X10" s="51"/>
      <c r="Y10"/>
      <c r="Z10">
        <f t="shared" si="0"/>
        <v>0.13999999999999999</v>
      </c>
      <c r="AA10" s="52"/>
      <c r="AB10"/>
      <c r="AC10" s="51"/>
      <c r="AD10"/>
      <c r="AH10" s="6"/>
      <c r="AI10" s="9"/>
      <c r="AJ10"/>
    </row>
    <row r="11" spans="1:36" ht="24.95" customHeight="1" thickBot="1">
      <c r="A11" s="2" t="s">
        <v>238</v>
      </c>
      <c r="B11" s="767">
        <f>'GUIDA dimensionamento ACCUMULO'!B29</f>
        <v>4718</v>
      </c>
      <c r="C11" s="778"/>
      <c r="D11" s="779"/>
      <c r="E11" s="167" t="s">
        <v>421</v>
      </c>
      <c r="F11" s="8"/>
      <c r="G11" s="8"/>
      <c r="H11" s="32">
        <v>5</v>
      </c>
      <c r="L11" s="23">
        <f t="shared" si="1"/>
        <v>1211.5251291076668</v>
      </c>
      <c r="M11" s="23">
        <f t="shared" ref="M11:M26" si="3">L11</f>
        <v>1211.5251291076668</v>
      </c>
      <c r="N11" s="23">
        <f t="shared" si="2"/>
        <v>-3343.0823544616669</v>
      </c>
      <c r="O11" s="8"/>
      <c r="P11" t="s">
        <v>142</v>
      </c>
      <c r="Q11" s="53">
        <f>(1-'GUIDA dimensionamento ACCUMULO'!B24)</f>
        <v>0.99199999999999999</v>
      </c>
      <c r="R11" s="8"/>
      <c r="S11" s="8"/>
      <c r="W11" s="50"/>
      <c r="X11" s="51"/>
      <c r="Y11"/>
      <c r="Z11">
        <f t="shared" si="0"/>
        <v>0.15</v>
      </c>
      <c r="AA11" s="52"/>
      <c r="AB11"/>
      <c r="AC11" s="51"/>
      <c r="AD11"/>
      <c r="AH11" s="8"/>
      <c r="AI11" s="9"/>
      <c r="AJ11"/>
    </row>
    <row r="12" spans="1:36" ht="24.95" customHeight="1" thickBot="1">
      <c r="A12" s="2" t="s">
        <v>207</v>
      </c>
      <c r="B12" s="405">
        <f>'GUIDA dimensionamento ACCUMULO'!B32</f>
        <v>9.6</v>
      </c>
      <c r="C12" s="406"/>
      <c r="D12" s="529">
        <f>'GUIDA dimensionamento ACCUMULO'!B31</f>
        <v>2829.48</v>
      </c>
      <c r="E12" s="166" t="s">
        <v>320</v>
      </c>
      <c r="F12" s="8"/>
      <c r="G12" s="8"/>
      <c r="H12" s="32">
        <v>6</v>
      </c>
      <c r="L12" s="23">
        <f t="shared" si="1"/>
        <v>1211.5251291076668</v>
      </c>
      <c r="M12" s="23">
        <f t="shared" si="3"/>
        <v>1211.5251291076668</v>
      </c>
      <c r="N12" s="23">
        <f t="shared" si="2"/>
        <v>-2131.5572253540004</v>
      </c>
      <c r="O12" s="8"/>
      <c r="P12" s="8"/>
      <c r="Q12" s="8"/>
      <c r="R12" s="8"/>
      <c r="S12" s="8"/>
      <c r="W12" s="50"/>
      <c r="X12" s="51"/>
      <c r="Y12"/>
      <c r="Z12">
        <f t="shared" si="0"/>
        <v>0.16</v>
      </c>
      <c r="AA12" s="52"/>
      <c r="AB12"/>
      <c r="AC12" s="51"/>
      <c r="AD12"/>
      <c r="AH12" s="8"/>
      <c r="AI12" s="9"/>
      <c r="AJ12"/>
    </row>
    <row r="13" spans="1:36" ht="24.95" customHeight="1" thickBot="1">
      <c r="A13" s="2" t="s">
        <v>321</v>
      </c>
      <c r="B13" s="484" t="str">
        <f>'GUIDA dimensionamento ACCUMULO'!B34</f>
        <v>400-24</v>
      </c>
      <c r="C13" s="407"/>
      <c r="D13" s="484" t="str">
        <f>'GUIDA dimensionamento ACCUMULO'!B35</f>
        <v>XTM 3500-24</v>
      </c>
      <c r="E13" s="25" t="s">
        <v>335</v>
      </c>
      <c r="F13" s="8"/>
      <c r="G13" s="8"/>
      <c r="H13" s="32">
        <v>7</v>
      </c>
      <c r="L13" s="23">
        <f t="shared" si="1"/>
        <v>1211.5251291076668</v>
      </c>
      <c r="M13" s="23">
        <f t="shared" si="3"/>
        <v>1211.5251291076668</v>
      </c>
      <c r="N13" s="23">
        <f t="shared" si="2"/>
        <v>-920.03209624633359</v>
      </c>
      <c r="O13" s="8"/>
      <c r="P13" s="8"/>
      <c r="Q13" s="8"/>
      <c r="R13" s="8"/>
      <c r="S13" s="8"/>
      <c r="W13" s="50"/>
      <c r="X13" s="51"/>
      <c r="Y13"/>
      <c r="AA13" s="52"/>
      <c r="AB13"/>
      <c r="AC13" s="51"/>
      <c r="AD13"/>
      <c r="AH13" s="8"/>
      <c r="AI13" s="9"/>
      <c r="AJ13"/>
    </row>
    <row r="14" spans="1:36" ht="24.95" customHeight="1" thickBot="1">
      <c r="A14" s="2" t="s">
        <v>317</v>
      </c>
      <c r="B14" s="774">
        <f>'FOGLIO RACCOLTA DATI DI CONSUMO'!C32</f>
        <v>1257</v>
      </c>
      <c r="C14" s="775"/>
      <c r="D14" s="776"/>
      <c r="E14" s="167" t="s">
        <v>421</v>
      </c>
      <c r="F14" s="8"/>
      <c r="G14" s="8"/>
      <c r="H14" s="32">
        <v>8</v>
      </c>
      <c r="L14" s="23">
        <f t="shared" si="1"/>
        <v>1211.5251291076668</v>
      </c>
      <c r="M14" s="23">
        <f t="shared" si="3"/>
        <v>1211.5251291076668</v>
      </c>
      <c r="N14" s="23">
        <f>(M14+N13)</f>
        <v>291.49303286133318</v>
      </c>
      <c r="O14" s="8"/>
      <c r="P14" s="8"/>
      <c r="Q14" s="65"/>
      <c r="R14" s="8"/>
      <c r="S14" s="8"/>
      <c r="V14" s="50"/>
      <c r="W14" s="50"/>
      <c r="X14" s="51"/>
      <c r="Y14"/>
      <c r="AA14" s="52"/>
      <c r="AB14"/>
      <c r="AD14"/>
      <c r="AG14" s="8"/>
      <c r="AH14" s="9"/>
      <c r="AI14" s="8"/>
      <c r="AJ14"/>
    </row>
    <row r="15" spans="1:36" ht="27.95" customHeight="1" thickBot="1">
      <c r="A15" s="1" t="s">
        <v>300</v>
      </c>
      <c r="B15" s="754">
        <f>$B$6*$B$8</f>
        <v>0</v>
      </c>
      <c r="C15" s="746"/>
      <c r="D15" s="747"/>
      <c r="E15" s="168"/>
      <c r="F15" s="8"/>
      <c r="G15" s="8"/>
      <c r="H15" s="32">
        <v>9</v>
      </c>
      <c r="L15" s="23">
        <f t="shared" si="1"/>
        <v>1211.5251291076668</v>
      </c>
      <c r="M15" s="23">
        <f t="shared" si="3"/>
        <v>1211.5251291076668</v>
      </c>
      <c r="N15" s="23">
        <f t="shared" ref="N15:N25" si="4">(M15+N14)</f>
        <v>1503.0181619689999</v>
      </c>
      <c r="O15" s="8"/>
      <c r="P15" s="8"/>
      <c r="Q15" s="8"/>
      <c r="R15" s="49"/>
      <c r="S15" s="8"/>
      <c r="V15" s="50"/>
      <c r="W15" s="50"/>
      <c r="X15" s="51"/>
      <c r="Y15"/>
      <c r="AA15" s="52"/>
      <c r="AB15"/>
      <c r="AD15"/>
      <c r="AG15" s="8"/>
      <c r="AH15" s="9"/>
      <c r="AI15" s="8"/>
      <c r="AJ15"/>
    </row>
    <row r="16" spans="1:36" ht="24.95" customHeight="1" thickTop="1" thickBot="1">
      <c r="A16" s="61" t="s">
        <v>239</v>
      </c>
      <c r="B16" s="754">
        <f>IF(Redditività!$Q$31="si","xxxxxxx",'GUIDA dimensionamento ACCUMULO'!$B$39)</f>
        <v>8140</v>
      </c>
      <c r="C16" s="746"/>
      <c r="D16" s="747"/>
      <c r="E16" s="169" t="s">
        <v>322</v>
      </c>
      <c r="F16" s="8"/>
      <c r="G16" s="8"/>
      <c r="H16" s="32">
        <v>10</v>
      </c>
      <c r="L16" s="23">
        <f t="shared" si="1"/>
        <v>1211.5251291076668</v>
      </c>
      <c r="M16" s="23">
        <f t="shared" si="3"/>
        <v>1211.5251291076668</v>
      </c>
      <c r="N16" s="23">
        <f t="shared" si="4"/>
        <v>2714.5432910766667</v>
      </c>
      <c r="O16" s="8"/>
      <c r="P16" s="8"/>
      <c r="Q16" s="8"/>
      <c r="R16" s="8"/>
      <c r="S16" s="8"/>
      <c r="V16" s="50"/>
      <c r="W16" s="50"/>
      <c r="X16" s="51"/>
      <c r="Y16"/>
      <c r="AA16" s="52"/>
      <c r="AB16"/>
      <c r="AD16"/>
      <c r="AG16" s="8"/>
      <c r="AH16" s="9"/>
      <c r="AJ16"/>
    </row>
    <row r="17" spans="1:39" ht="24.95" customHeight="1" thickBot="1">
      <c r="A17" s="1" t="s">
        <v>299</v>
      </c>
      <c r="B17" s="754">
        <f>IF(Redditività!$Q$31="si","xxxxxxx",('GUIDA dimensionamento ACCUMULO'!$B$39+$B$15)*1.1)</f>
        <v>8954</v>
      </c>
      <c r="C17" s="746"/>
      <c r="D17" s="747"/>
      <c r="E17" s="424"/>
      <c r="F17" s="8"/>
      <c r="G17" s="8"/>
      <c r="H17" s="32">
        <v>11</v>
      </c>
      <c r="L17" s="23">
        <f t="shared" si="1"/>
        <v>1211.5251291076668</v>
      </c>
      <c r="M17" s="23">
        <f t="shared" si="3"/>
        <v>1211.5251291076668</v>
      </c>
      <c r="N17" s="23">
        <f t="shared" si="4"/>
        <v>3926.0684201843333</v>
      </c>
      <c r="O17" s="17"/>
      <c r="P17" s="17"/>
      <c r="Q17" s="17"/>
      <c r="R17" s="17"/>
      <c r="S17" s="17"/>
      <c r="W17" s="50"/>
      <c r="X17" s="51"/>
      <c r="Y17"/>
      <c r="AA17" s="52"/>
      <c r="AB17"/>
      <c r="AC17" s="51"/>
      <c r="AD17"/>
      <c r="AH17" s="8"/>
      <c r="AI17" s="9"/>
      <c r="AJ17"/>
    </row>
    <row r="18" spans="1:39" ht="24.95" customHeight="1" thickTop="1" thickBot="1">
      <c r="A18" s="66"/>
      <c r="B18" s="173"/>
      <c r="C18" s="69"/>
      <c r="D18" s="69"/>
      <c r="E18" s="314"/>
      <c r="F18" s="8"/>
      <c r="G18" s="8"/>
      <c r="H18" s="32">
        <v>12</v>
      </c>
      <c r="L18" s="23">
        <f>$L$7-$Q$11*10</f>
        <v>754.89712910766673</v>
      </c>
      <c r="M18" s="23">
        <f t="shared" si="3"/>
        <v>754.89712910766673</v>
      </c>
      <c r="N18" s="23">
        <f t="shared" si="4"/>
        <v>4680.9655492920001</v>
      </c>
      <c r="Q18" s="48" t="s">
        <v>432</v>
      </c>
      <c r="AC18" s="51"/>
      <c r="AD18"/>
      <c r="AH18" s="8"/>
      <c r="AI18" s="9"/>
      <c r="AJ18"/>
    </row>
    <row r="19" spans="1:39" ht="24.95" customHeight="1" thickBot="1">
      <c r="A19" s="66"/>
      <c r="B19" s="173"/>
      <c r="C19" s="69"/>
      <c r="D19" s="69"/>
      <c r="E19" s="315"/>
      <c r="F19" s="6"/>
      <c r="H19" s="32">
        <v>13</v>
      </c>
      <c r="L19" s="23">
        <f t="shared" ref="L19:L26" si="5">L18-$Q$11</f>
        <v>753.90512910766677</v>
      </c>
      <c r="M19" s="23">
        <f t="shared" si="3"/>
        <v>753.90512910766677</v>
      </c>
      <c r="N19" s="23">
        <f t="shared" si="4"/>
        <v>5434.8706783996668</v>
      </c>
      <c r="Q19" s="48" t="s">
        <v>431</v>
      </c>
      <c r="AD19"/>
      <c r="AE19" s="9"/>
      <c r="AJ19"/>
    </row>
    <row r="20" spans="1:39" ht="24.95" customHeight="1" thickTop="1" thickBot="1">
      <c r="A20" s="739" t="s">
        <v>324</v>
      </c>
      <c r="B20" s="772"/>
      <c r="C20" s="740"/>
      <c r="D20" s="772"/>
      <c r="E20" s="773"/>
      <c r="F20" s="8"/>
      <c r="H20" s="32">
        <v>14</v>
      </c>
      <c r="L20" s="23">
        <f t="shared" si="5"/>
        <v>752.9131291076668</v>
      </c>
      <c r="M20" s="23">
        <f t="shared" si="3"/>
        <v>752.9131291076668</v>
      </c>
      <c r="N20" s="23">
        <f t="shared" si="4"/>
        <v>6187.7838075073332</v>
      </c>
      <c r="O20" s="51"/>
      <c r="AD20"/>
      <c r="AE20" s="9"/>
      <c r="AJ20"/>
    </row>
    <row r="21" spans="1:39" ht="24.95" customHeight="1" thickTop="1" thickBot="1">
      <c r="A21" s="170"/>
      <c r="B21" s="422" t="s">
        <v>325</v>
      </c>
      <c r="C21" s="171"/>
      <c r="D21" s="425" t="s">
        <v>326</v>
      </c>
      <c r="E21" s="11"/>
      <c r="F21" s="8"/>
      <c r="H21" s="32">
        <v>15</v>
      </c>
      <c r="L21" s="23">
        <f t="shared" si="5"/>
        <v>751.92112910766684</v>
      </c>
      <c r="M21" s="23">
        <f t="shared" si="3"/>
        <v>751.92112910766684</v>
      </c>
      <c r="N21" s="23">
        <f t="shared" si="4"/>
        <v>6939.7049366150004</v>
      </c>
      <c r="AD21"/>
      <c r="AE21" s="9"/>
      <c r="AJ21"/>
    </row>
    <row r="22" spans="1:39" ht="24.75" customHeight="1" thickTop="1" thickBot="1">
      <c r="A22" s="2" t="s">
        <v>0</v>
      </c>
      <c r="B22" s="417">
        <f>IF('GUIDA dimensionamento ACCUMULO'!$B$11=0,0,'GUIDA dimensionamento ACCUMULO'!AE19)</f>
        <v>1552.9079999999997</v>
      </c>
      <c r="C22" s="8"/>
      <c r="D22" s="426">
        <f>'GUIDA dimensionamento ACCUMULO'!BD20</f>
        <v>3958.5554952077878</v>
      </c>
      <c r="E22" s="770" t="s">
        <v>373</v>
      </c>
      <c r="F22" s="8"/>
      <c r="H22" s="32">
        <v>16</v>
      </c>
      <c r="L22" s="23">
        <f t="shared" si="5"/>
        <v>750.92912910766688</v>
      </c>
      <c r="M22" s="23">
        <f t="shared" si="3"/>
        <v>750.92912910766688</v>
      </c>
      <c r="N22" s="23">
        <f t="shared" si="4"/>
        <v>7690.6340657226674</v>
      </c>
      <c r="AD22"/>
      <c r="AE22" s="9"/>
      <c r="AJ22"/>
    </row>
    <row r="23" spans="1:39" ht="24.95" customHeight="1" thickBot="1">
      <c r="A23" s="2" t="s">
        <v>327</v>
      </c>
      <c r="B23" s="418">
        <f>IF('GUIDA dimensionamento ACCUMULO'!$B$11=0,0,B9)</f>
        <v>0.3</v>
      </c>
      <c r="C23" s="8"/>
      <c r="D23" s="427">
        <f>'GUIDA dimensionamento ACCUMULO'!BC20</f>
        <v>0.76473728550714948</v>
      </c>
      <c r="E23" s="771"/>
      <c r="F23" s="8"/>
      <c r="H23" s="32">
        <v>17</v>
      </c>
      <c r="L23" s="23">
        <f t="shared" si="5"/>
        <v>749.93712910766692</v>
      </c>
      <c r="M23" s="23">
        <f t="shared" si="3"/>
        <v>749.93712910766692</v>
      </c>
      <c r="N23" s="23">
        <f t="shared" si="4"/>
        <v>8440.5711948303342</v>
      </c>
      <c r="AD23"/>
      <c r="AF23" s="8"/>
      <c r="AJ23"/>
    </row>
    <row r="24" spans="1:39" ht="24.95" customHeight="1" thickBot="1">
      <c r="A24" s="2" t="s">
        <v>11</v>
      </c>
      <c r="B24" s="419">
        <f>IF('GUIDA dimensionamento ACCUMULO'!$B$11=0,0,('GUIDA dimensionamento ACCUMULO'!$B$19*$B$5-$B$22))</f>
        <v>3623.4520000000002</v>
      </c>
      <c r="C24" s="8"/>
      <c r="D24" s="419">
        <f>('GUIDA dimensionamento ACCUMULO'!BF20)</f>
        <v>1219.3578011162924</v>
      </c>
      <c r="E24" s="29"/>
      <c r="F24" s="8"/>
      <c r="G24" s="8"/>
      <c r="H24" s="32">
        <v>18</v>
      </c>
      <c r="L24" s="23">
        <f t="shared" si="5"/>
        <v>748.94512910766696</v>
      </c>
      <c r="M24" s="23">
        <f t="shared" si="3"/>
        <v>748.94512910766696</v>
      </c>
      <c r="N24" s="23">
        <f t="shared" si="4"/>
        <v>9189.5163239380017</v>
      </c>
      <c r="AD24"/>
      <c r="AJ24"/>
    </row>
    <row r="25" spans="1:39" ht="24.95" customHeight="1" thickBot="1">
      <c r="A25" s="2" t="s">
        <v>12</v>
      </c>
      <c r="B25" s="420">
        <f>B11</f>
        <v>4718</v>
      </c>
      <c r="C25" s="6"/>
      <c r="D25" s="428">
        <f>'GUIDA dimensionamento ACCUMULO'!BG20</f>
        <v>887.49836480094439</v>
      </c>
      <c r="E25" s="29"/>
      <c r="F25" s="8"/>
      <c r="G25" s="8"/>
      <c r="H25" s="32">
        <v>19</v>
      </c>
      <c r="L25" s="23">
        <f t="shared" si="5"/>
        <v>747.953129107667</v>
      </c>
      <c r="M25" s="23">
        <f t="shared" si="3"/>
        <v>747.953129107667</v>
      </c>
      <c r="N25" s="23">
        <f t="shared" si="4"/>
        <v>9937.4694530456691</v>
      </c>
      <c r="X25" s="52"/>
      <c r="Y25"/>
      <c r="AA25" s="10"/>
      <c r="AB25"/>
      <c r="AD25"/>
      <c r="AJ25"/>
    </row>
    <row r="26" spans="1:39" ht="24.95" customHeight="1" thickBot="1">
      <c r="A26" s="349" t="str">
        <f>CONCATENATE(Q18,M29,Q19)</f>
        <v xml:space="preserve">ricavo per energia immessa in rete con SSP (valore medio  0,12  €/kWh/anno) </v>
      </c>
      <c r="B26" s="421">
        <f>B24*M29</f>
        <v>434.81423999999998</v>
      </c>
      <c r="C26" s="8"/>
      <c r="D26" s="421">
        <f>D24*M29</f>
        <v>146.32293613395507</v>
      </c>
      <c r="E26" s="574" t="s">
        <v>451</v>
      </c>
      <c r="F26" s="8"/>
      <c r="G26" s="8"/>
      <c r="H26" s="32">
        <v>20</v>
      </c>
      <c r="L26" s="23">
        <f t="shared" si="5"/>
        <v>746.96112910766703</v>
      </c>
      <c r="M26" s="23">
        <f t="shared" si="3"/>
        <v>746.96112910766703</v>
      </c>
      <c r="N26" s="23">
        <f>SUM(M26+N25)</f>
        <v>10684.430582153336</v>
      </c>
      <c r="S26" s="8"/>
      <c r="X26" s="52"/>
      <c r="Y26"/>
      <c r="AA26" s="10"/>
      <c r="AB26"/>
      <c r="AD26"/>
      <c r="AJ26"/>
    </row>
    <row r="27" spans="1:39" ht="24.95" customHeight="1" thickBot="1">
      <c r="A27" s="48" t="s">
        <v>138</v>
      </c>
      <c r="B27" s="421">
        <f>'FOGLIO RACCOLTA DATI DI CONSUMO'!C32</f>
        <v>1257</v>
      </c>
      <c r="C27" s="8"/>
      <c r="D27" s="421">
        <f>'GUIDA dimensionamento ACCUMULO'!BL19</f>
        <v>203.69156702628845</v>
      </c>
      <c r="E27" s="183"/>
      <c r="X27" s="52"/>
      <c r="Y27"/>
      <c r="AA27" s="10"/>
      <c r="AB27"/>
    </row>
    <row r="28" spans="1:39" ht="20.100000000000001" customHeight="1" thickBot="1">
      <c r="B28" s="408"/>
      <c r="D28" s="408"/>
      <c r="G28" s="8"/>
      <c r="L28" s="408"/>
      <c r="M28" s="408"/>
      <c r="N28" s="408"/>
      <c r="S28" s="8"/>
      <c r="X28"/>
      <c r="Y28"/>
      <c r="AB28"/>
      <c r="AD28"/>
      <c r="AE28" s="10"/>
      <c r="AJ28"/>
    </row>
    <row r="29" spans="1:39" ht="50.1" customHeight="1" thickTop="1" thickBot="1">
      <c r="A29" s="742" t="s">
        <v>483</v>
      </c>
      <c r="B29" s="743"/>
      <c r="C29" s="743"/>
      <c r="D29" s="743"/>
      <c r="E29" s="744"/>
      <c r="L29" s="411" t="s">
        <v>366</v>
      </c>
      <c r="M29" s="409">
        <v>0.11999999999999998</v>
      </c>
      <c r="N29" s="410" t="s">
        <v>430</v>
      </c>
      <c r="Q29" s="564" t="s">
        <v>356</v>
      </c>
      <c r="R29" s="566"/>
      <c r="S29" s="566"/>
      <c r="T29" s="566"/>
      <c r="X29"/>
      <c r="Y29"/>
      <c r="AA29" s="8"/>
      <c r="AB29"/>
      <c r="AD29"/>
      <c r="AJ29"/>
      <c r="AM29" s="10"/>
    </row>
    <row r="30" spans="1:39" ht="24.95" customHeight="1" thickTop="1" thickBot="1">
      <c r="B30" s="10"/>
      <c r="C30" s="8"/>
      <c r="D30" s="10"/>
      <c r="L30" s="408"/>
      <c r="M30" s="408"/>
      <c r="N30" s="408"/>
      <c r="Q30" s="566"/>
      <c r="X30"/>
      <c r="Y30"/>
      <c r="AA30" s="51"/>
      <c r="AB30"/>
      <c r="AD30"/>
      <c r="AJ30"/>
    </row>
    <row r="31" spans="1:39" ht="21.95" customHeight="1" thickTop="1" thickBot="1">
      <c r="A31" s="739" t="s">
        <v>318</v>
      </c>
      <c r="B31" s="740"/>
      <c r="C31" s="740"/>
      <c r="D31" s="740"/>
      <c r="E31" s="741"/>
      <c r="L31" s="408"/>
      <c r="M31" s="408"/>
      <c r="N31" s="408"/>
      <c r="Q31" s="182" t="s">
        <v>354</v>
      </c>
      <c r="U31" s="51"/>
      <c r="X31"/>
      <c r="Y31"/>
      <c r="AB31"/>
      <c r="AD31"/>
      <c r="AJ31"/>
      <c r="AK31" s="10"/>
    </row>
    <row r="32" spans="1:39" s="414" customFormat="1" ht="18" customHeight="1" thickTop="1" thickBot="1">
      <c r="A32" s="412"/>
      <c r="B32" s="736" t="s">
        <v>149</v>
      </c>
      <c r="C32" s="737"/>
      <c r="D32" s="738"/>
      <c r="E32" s="413" t="s">
        <v>1</v>
      </c>
      <c r="Q32" s="581" t="s">
        <v>452</v>
      </c>
      <c r="U32" s="415"/>
      <c r="X32" s="416"/>
      <c r="AK32" s="57"/>
    </row>
    <row r="33" spans="1:36" ht="26.1" customHeight="1" thickBot="1">
      <c r="A33" s="25" t="s">
        <v>328</v>
      </c>
      <c r="B33" s="755">
        <f>B10</f>
        <v>5176.3599999999997</v>
      </c>
      <c r="C33" s="756"/>
      <c r="D33" s="757"/>
      <c r="E33" s="316"/>
      <c r="J33" t="s">
        <v>150</v>
      </c>
      <c r="N33" s="69"/>
      <c r="Q33" s="414"/>
      <c r="X33"/>
      <c r="Y33"/>
      <c r="AB33"/>
      <c r="AD33"/>
      <c r="AJ33"/>
    </row>
    <row r="34" spans="1:36" ht="26.1" customHeight="1" thickBot="1">
      <c r="A34" s="2" t="s">
        <v>238</v>
      </c>
      <c r="B34" s="758">
        <f>'GUIDA dimensionamento ACCUMULO'!B29</f>
        <v>4718</v>
      </c>
      <c r="C34" s="746"/>
      <c r="D34" s="747"/>
      <c r="E34" s="167" t="s">
        <v>421</v>
      </c>
      <c r="P34" s="51"/>
      <c r="S34" s="10"/>
      <c r="T34" s="18"/>
      <c r="U34" s="18"/>
      <c r="X34" t="s">
        <v>364</v>
      </c>
      <c r="Y34"/>
      <c r="AB34"/>
      <c r="AD34"/>
      <c r="AJ34"/>
    </row>
    <row r="35" spans="1:36" ht="26.1" customHeight="1" thickBot="1">
      <c r="A35" s="578" t="s">
        <v>207</v>
      </c>
      <c r="B35" s="580">
        <f>'GUIDA dimensionamento ACCUMULO'!B32</f>
        <v>9.6</v>
      </c>
      <c r="C35" s="423"/>
      <c r="D35" s="576">
        <f>'GUIDA dimensionamento ACCUMULO'!B33</f>
        <v>7.7519999999999998</v>
      </c>
      <c r="E35" s="577" t="s">
        <v>331</v>
      </c>
      <c r="F35" s="8"/>
      <c r="G35" s="8"/>
      <c r="N35" s="52"/>
      <c r="X35">
        <f>((DGET('gamma celle'!$B$2:'gamma celle'!$Q$16,'gamma celle'!$Q$2,'GUIDA dimensionamento ACCUMULO'!$B$30:'GUIDA dimensionamento ACCUMULO'!$B$31)+IF('GUIDA dimensionamento ACCUMULO'!$B$31="0",0,'GUIDA dimensionamento ACCUMULO'!$B$38))+$B$15)*1.1</f>
        <v>8954</v>
      </c>
      <c r="Y35"/>
      <c r="AB35"/>
      <c r="AD35"/>
      <c r="AJ35"/>
    </row>
    <row r="36" spans="1:36" ht="26.1" customHeight="1" thickBot="1">
      <c r="A36" s="166" t="s">
        <v>320</v>
      </c>
      <c r="B36" s="759">
        <f>'GUIDA dimensionamento ACCUMULO'!B31</f>
        <v>2829.48</v>
      </c>
      <c r="C36" s="746"/>
      <c r="D36" s="747"/>
      <c r="E36" s="575"/>
      <c r="N36" s="52"/>
      <c r="P36" s="51"/>
      <c r="S36" s="10"/>
      <c r="T36" s="18"/>
      <c r="U36" s="18"/>
      <c r="X36"/>
      <c r="Y36"/>
      <c r="AB36"/>
      <c r="AD36"/>
      <c r="AJ36"/>
    </row>
    <row r="37" spans="1:36" ht="30" customHeight="1" thickBot="1">
      <c r="A37" s="611" t="s">
        <v>450</v>
      </c>
      <c r="B37" s="751">
        <f>$B$17</f>
        <v>8954</v>
      </c>
      <c r="C37" s="752"/>
      <c r="D37" s="753"/>
      <c r="E37" s="316"/>
      <c r="F37" s="8"/>
      <c r="G37" s="8"/>
      <c r="N37" s="52"/>
      <c r="X37">
        <f>X35*0.5/10</f>
        <v>447.7</v>
      </c>
      <c r="Y37"/>
      <c r="AB37"/>
      <c r="AD37"/>
      <c r="AJ37"/>
    </row>
    <row r="38" spans="1:36" ht="26.1" customHeight="1" thickBot="1">
      <c r="A38" s="2" t="s">
        <v>248</v>
      </c>
      <c r="B38" s="754">
        <f>IF(Redditività!$Q$31="si","xxxxxxx",$X$35*0.5/10)</f>
        <v>447.7</v>
      </c>
      <c r="C38" s="746"/>
      <c r="D38" s="747"/>
      <c r="E38" s="316"/>
      <c r="N38" s="52"/>
      <c r="P38" s="51"/>
      <c r="Q38" s="10"/>
      <c r="S38" s="10"/>
      <c r="T38" s="174"/>
      <c r="U38" s="174"/>
      <c r="W38" s="175"/>
      <c r="X38" s="51"/>
      <c r="Y38"/>
      <c r="AB38"/>
      <c r="AD38"/>
      <c r="AJ38"/>
    </row>
    <row r="39" spans="1:36" ht="26.1" customHeight="1" thickBot="1">
      <c r="A39" s="25" t="s">
        <v>13</v>
      </c>
      <c r="B39" s="745">
        <f>B27-D27</f>
        <v>1053.3084329737117</v>
      </c>
      <c r="C39" s="746"/>
      <c r="D39" s="747"/>
      <c r="E39" s="316"/>
      <c r="N39" s="52"/>
      <c r="P39" s="51"/>
      <c r="S39" s="10"/>
      <c r="T39" s="18"/>
      <c r="U39" s="18"/>
      <c r="X39"/>
      <c r="Y39"/>
      <c r="AB39"/>
      <c r="AD39"/>
      <c r="AJ39"/>
    </row>
    <row r="40" spans="1:36" ht="26.1" customHeight="1" thickBot="1">
      <c r="A40" s="2" t="s">
        <v>301</v>
      </c>
      <c r="B40" s="748">
        <f>D26-B26</f>
        <v>-288.49130386604492</v>
      </c>
      <c r="C40" s="749"/>
      <c r="D40" s="750"/>
      <c r="E40" s="316"/>
      <c r="N40" s="52"/>
      <c r="P40" s="51"/>
      <c r="S40" s="10"/>
      <c r="T40" s="10"/>
      <c r="U40" s="10"/>
      <c r="X40"/>
      <c r="Y40"/>
      <c r="AB40"/>
      <c r="AD40"/>
      <c r="AJ40"/>
    </row>
    <row r="41" spans="1:36" ht="30" customHeight="1" thickBot="1">
      <c r="A41" s="611" t="s">
        <v>139</v>
      </c>
      <c r="B41" s="751">
        <f>B40+B39</f>
        <v>764.81712910766669</v>
      </c>
      <c r="C41" s="752"/>
      <c r="D41" s="753"/>
      <c r="E41" s="316"/>
      <c r="N41" s="52"/>
      <c r="P41" s="51"/>
      <c r="S41" s="10"/>
      <c r="T41" s="10"/>
      <c r="U41" s="10"/>
      <c r="V41" s="10"/>
      <c r="X41"/>
      <c r="Y41"/>
      <c r="AB41"/>
      <c r="AD41"/>
      <c r="AJ41"/>
    </row>
    <row r="42" spans="1:36" ht="26.1" customHeight="1" thickBot="1">
      <c r="A42" s="25" t="s">
        <v>330</v>
      </c>
      <c r="B42" s="754">
        <f>(B41)*20</f>
        <v>15296.342582153335</v>
      </c>
      <c r="C42" s="746"/>
      <c r="D42" s="747"/>
      <c r="E42" s="316"/>
      <c r="N42" s="52"/>
      <c r="P42" s="51"/>
      <c r="S42" s="10"/>
      <c r="T42" s="10"/>
      <c r="U42" s="10"/>
      <c r="V42" s="10"/>
      <c r="X42"/>
      <c r="Y42"/>
      <c r="AB42"/>
      <c r="AD42"/>
      <c r="AJ42"/>
    </row>
    <row r="43" spans="1:36" ht="26.1" customHeight="1" thickBot="1">
      <c r="A43" s="25" t="s">
        <v>329</v>
      </c>
      <c r="B43" s="745">
        <f>N26</f>
        <v>10684.430582153336</v>
      </c>
      <c r="C43" s="746"/>
      <c r="D43" s="747"/>
      <c r="E43" s="316"/>
      <c r="N43" s="52"/>
      <c r="P43" s="51"/>
      <c r="S43" s="10"/>
      <c r="T43" s="10"/>
      <c r="U43" s="10"/>
      <c r="V43" s="10"/>
      <c r="X43"/>
      <c r="Y43"/>
      <c r="AB43"/>
      <c r="AD43"/>
      <c r="AJ43"/>
    </row>
    <row r="44" spans="1:36" ht="26.1" customHeight="1" thickBot="1">
      <c r="A44" s="25" t="s">
        <v>350</v>
      </c>
      <c r="B44" s="758">
        <f>'GUIDA dimensionamento ACCUMULO'!B40</f>
        <v>54264</v>
      </c>
      <c r="C44" s="746"/>
      <c r="D44" s="747"/>
      <c r="E44" s="316"/>
      <c r="L44" s="571"/>
      <c r="N44" s="52"/>
      <c r="P44" s="51"/>
      <c r="S44" s="9"/>
      <c r="X44"/>
      <c r="Y44"/>
      <c r="AB44"/>
      <c r="AD44"/>
      <c r="AJ44"/>
    </row>
    <row r="45" spans="1:36" ht="26.1" customHeight="1" thickBot="1">
      <c r="A45" s="45" t="s">
        <v>358</v>
      </c>
      <c r="B45" s="763">
        <f>'GUIDA dimensionamento ACCUMULO'!B41*1.1</f>
        <v>0.16500810850656053</v>
      </c>
      <c r="C45" s="764"/>
      <c r="D45" s="765"/>
      <c r="E45" s="317" t="s">
        <v>351</v>
      </c>
      <c r="N45" s="52"/>
      <c r="P45" s="51"/>
      <c r="S45" s="9"/>
      <c r="AD45"/>
      <c r="AJ45"/>
    </row>
    <row r="46" spans="1:36" ht="27" customHeight="1" thickBot="1">
      <c r="A46" s="611" t="s">
        <v>2</v>
      </c>
      <c r="B46" s="760">
        <f>IF(($X$37+$B$41)=0,0,IF(($X$35-$B$41)/($B$41+$X$37)+1&lt;11,($X$35-$B$41)/($B$41+$X$37)+1,(($X$35-$B$41)-($B$41+$X$37)*10)/$B$41+11))</f>
        <v>7.7538698417555851</v>
      </c>
      <c r="C46" s="761"/>
      <c r="D46" s="762"/>
      <c r="E46" s="587"/>
      <c r="N46" s="52"/>
      <c r="P46" s="51"/>
      <c r="S46" s="9"/>
      <c r="AD46"/>
      <c r="AJ46"/>
    </row>
    <row r="47" spans="1:36" ht="15.95" customHeight="1">
      <c r="N47" s="52"/>
      <c r="P47" s="51"/>
      <c r="S47" s="9"/>
      <c r="AD47"/>
      <c r="AJ47"/>
    </row>
    <row r="48" spans="1:36" ht="21.95" customHeight="1">
      <c r="N48" s="52"/>
      <c r="P48" s="51"/>
      <c r="S48" s="9"/>
      <c r="AD48"/>
      <c r="AJ48"/>
    </row>
    <row r="49" spans="14:36" ht="21.95" customHeight="1">
      <c r="N49" s="52"/>
      <c r="P49" s="51"/>
      <c r="S49" s="9"/>
      <c r="AD49"/>
      <c r="AJ49"/>
    </row>
    <row r="50" spans="14:36" ht="21.95" customHeight="1">
      <c r="AG50" s="9"/>
      <c r="AJ50"/>
    </row>
    <row r="51" spans="14:36" ht="21.95" customHeight="1">
      <c r="AG51" s="9"/>
      <c r="AJ51"/>
    </row>
    <row r="52" spans="14:36" ht="21.95" customHeight="1">
      <c r="AG52" s="9"/>
      <c r="AJ52"/>
    </row>
    <row r="53" spans="14:36" ht="21.95" customHeight="1">
      <c r="AG53" s="9"/>
      <c r="AJ53"/>
    </row>
    <row r="54" spans="14:36" ht="21.95" customHeight="1">
      <c r="AG54" s="9"/>
      <c r="AJ54"/>
    </row>
    <row r="55" spans="14:36" ht="21.95" customHeight="1">
      <c r="AG55" s="9"/>
      <c r="AJ55"/>
    </row>
    <row r="56" spans="14:36" ht="21.95" customHeight="1">
      <c r="AH56" s="9"/>
      <c r="AJ56"/>
    </row>
    <row r="57" spans="14:36" ht="21.95" customHeight="1">
      <c r="AH57" s="9"/>
      <c r="AJ57"/>
    </row>
    <row r="58" spans="14:36" ht="21.95" customHeight="1">
      <c r="AH58" s="9"/>
      <c r="AJ58"/>
    </row>
    <row r="59" spans="14:36" ht="21.95" customHeight="1">
      <c r="AH59" s="9"/>
      <c r="AJ59"/>
    </row>
    <row r="60" spans="14:36" ht="21.95" customHeight="1">
      <c r="AH60" s="9"/>
      <c r="AJ60"/>
    </row>
    <row r="61" spans="14:36" ht="21.95" customHeight="1">
      <c r="AH61" s="9"/>
      <c r="AJ61"/>
    </row>
    <row r="62" spans="14:36" ht="21.95" customHeight="1">
      <c r="AH62" s="9"/>
      <c r="AJ62"/>
    </row>
    <row r="63" spans="14:36" ht="24.95" customHeight="1">
      <c r="AH63" s="9"/>
      <c r="AJ63"/>
    </row>
    <row r="64" spans="14:36" ht="24.95" customHeight="1">
      <c r="AH64" s="9"/>
      <c r="AJ64"/>
    </row>
    <row r="65" spans="8:36" ht="24.95" customHeight="1">
      <c r="H65" s="58"/>
      <c r="I65" s="58"/>
      <c r="AH65" s="9"/>
      <c r="AJ65"/>
    </row>
    <row r="66" spans="8:36" ht="24.95" customHeight="1">
      <c r="H66" s="58"/>
      <c r="I66" s="58"/>
      <c r="AH66" s="9"/>
      <c r="AJ66"/>
    </row>
    <row r="67" spans="8:36" ht="24.95" customHeight="1">
      <c r="H67" s="58"/>
      <c r="I67" s="58"/>
      <c r="AH67" s="9"/>
      <c r="AJ67"/>
    </row>
    <row r="68" spans="8:36" ht="24.95" customHeight="1">
      <c r="H68" s="58"/>
      <c r="I68" s="58"/>
      <c r="AH68" s="9"/>
      <c r="AJ68"/>
    </row>
    <row r="69" spans="8:36" ht="24.95" customHeight="1">
      <c r="H69" s="58"/>
      <c r="AH69" s="9"/>
      <c r="AJ69"/>
    </row>
    <row r="70" spans="8:36" ht="24.95" customHeight="1">
      <c r="H70" s="58"/>
      <c r="AH70" s="9"/>
      <c r="AJ70"/>
    </row>
    <row r="71" spans="8:36" ht="24.95" customHeight="1">
      <c r="H71" s="58"/>
      <c r="AH71" s="9"/>
      <c r="AJ71"/>
    </row>
    <row r="72" spans="8:36" ht="24.95" customHeight="1">
      <c r="H72" s="58"/>
      <c r="AH72" s="9"/>
      <c r="AJ72"/>
    </row>
    <row r="73" spans="8:36" ht="24.95" customHeight="1">
      <c r="H73" s="58"/>
      <c r="AH73" s="9"/>
      <c r="AJ73"/>
    </row>
    <row r="74" spans="8:36" ht="24.95" customHeight="1">
      <c r="H74" s="58"/>
      <c r="AH74" s="9"/>
      <c r="AJ74"/>
    </row>
    <row r="75" spans="8:36" ht="24.95" customHeight="1">
      <c r="H75" s="58"/>
      <c r="AH75" s="9"/>
      <c r="AJ75"/>
    </row>
    <row r="76" spans="8:36" ht="24.95" customHeight="1">
      <c r="H76" s="58"/>
      <c r="AH76" s="9"/>
      <c r="AJ76"/>
    </row>
    <row r="77" spans="8:36" ht="24.95" customHeight="1">
      <c r="H77" s="58"/>
      <c r="AH77" s="9"/>
      <c r="AJ77"/>
    </row>
    <row r="78" spans="8:36" ht="24.95" customHeight="1">
      <c r="H78" s="58"/>
      <c r="AH78" s="9"/>
      <c r="AJ78"/>
    </row>
    <row r="79" spans="8:36" ht="24.95" customHeight="1">
      <c r="AH79" s="9"/>
      <c r="AJ79"/>
    </row>
    <row r="80" spans="8:36" ht="24.95" customHeight="1">
      <c r="AH80" s="9"/>
      <c r="AJ80"/>
    </row>
    <row r="81" spans="34:36" ht="24.95" customHeight="1">
      <c r="AH81" s="9"/>
      <c r="AJ81"/>
    </row>
    <row r="82" spans="34:36" ht="24.95" customHeight="1">
      <c r="AH82" s="9"/>
      <c r="AJ82"/>
    </row>
    <row r="83" spans="34:36" ht="24.95" customHeight="1">
      <c r="AH83" s="9"/>
      <c r="AJ83"/>
    </row>
    <row r="84" spans="34:36" ht="24.95" customHeight="1">
      <c r="AH84" s="9"/>
      <c r="AJ84"/>
    </row>
    <row r="85" spans="34:36" ht="24.95" customHeight="1">
      <c r="AH85" s="9"/>
      <c r="AJ85"/>
    </row>
    <row r="86" spans="34:36" ht="24.95" customHeight="1">
      <c r="AH86" s="9"/>
      <c r="AJ86"/>
    </row>
    <row r="87" spans="34:36" ht="24.95" customHeight="1">
      <c r="AH87" s="9"/>
      <c r="AJ87"/>
    </row>
    <row r="88" spans="34:36" ht="24.95" customHeight="1">
      <c r="AH88" s="9"/>
      <c r="AJ88"/>
    </row>
    <row r="89" spans="34:36" ht="24.95" customHeight="1">
      <c r="AH89" s="9"/>
      <c r="AJ89"/>
    </row>
    <row r="90" spans="34:36" ht="24.95" customHeight="1">
      <c r="AH90" s="9"/>
      <c r="AJ90"/>
    </row>
    <row r="91" spans="34:36" ht="24.95" customHeight="1">
      <c r="AH91" s="9"/>
      <c r="AJ91"/>
    </row>
    <row r="92" spans="34:36" ht="24.95" customHeight="1">
      <c r="AH92" s="9"/>
      <c r="AJ92"/>
    </row>
    <row r="93" spans="34:36" ht="24.95" customHeight="1">
      <c r="AH93" s="9"/>
      <c r="AJ93"/>
    </row>
    <row r="94" spans="34:36" ht="24.95" customHeight="1">
      <c r="AH94" s="9"/>
      <c r="AJ94"/>
    </row>
    <row r="95" spans="34:36" ht="24.95" customHeight="1">
      <c r="AH95" s="9"/>
      <c r="AJ95"/>
    </row>
    <row r="96" spans="34:36" ht="24.95" customHeight="1">
      <c r="AH96" s="9"/>
      <c r="AJ96"/>
    </row>
    <row r="97" spans="34:36" ht="24.95" customHeight="1">
      <c r="AH97" s="9"/>
      <c r="AJ97"/>
    </row>
    <row r="98" spans="34:36" ht="24.95" customHeight="1">
      <c r="AH98" s="9"/>
      <c r="AJ98"/>
    </row>
    <row r="99" spans="34:36" ht="24.95" customHeight="1">
      <c r="AH99" s="9"/>
      <c r="AJ99"/>
    </row>
    <row r="100" spans="34:36" ht="24.95" customHeight="1">
      <c r="AH100" s="9"/>
      <c r="AJ100"/>
    </row>
    <row r="101" spans="34:36" ht="24.95" customHeight="1">
      <c r="AH101" s="9"/>
      <c r="AJ101"/>
    </row>
    <row r="102" spans="34:36" ht="24.95" customHeight="1">
      <c r="AH102" s="9"/>
      <c r="AJ102"/>
    </row>
    <row r="103" spans="34:36" ht="24.95" customHeight="1">
      <c r="AH103" s="9"/>
      <c r="AJ103"/>
    </row>
    <row r="104" spans="34:36" ht="24.95" customHeight="1">
      <c r="AH104" s="9"/>
      <c r="AJ104"/>
    </row>
    <row r="105" spans="34:36" ht="24.95" customHeight="1">
      <c r="AH105" s="9"/>
      <c r="AJ105"/>
    </row>
    <row r="106" spans="34:36" ht="24.95" customHeight="1">
      <c r="AH106" s="9"/>
      <c r="AJ106"/>
    </row>
    <row r="107" spans="34:36" ht="24.95" customHeight="1">
      <c r="AH107" s="9"/>
      <c r="AJ107"/>
    </row>
    <row r="108" spans="34:36" ht="24.95" customHeight="1">
      <c r="AH108" s="9"/>
      <c r="AJ108"/>
    </row>
    <row r="109" spans="34:36" ht="24.95" customHeight="1">
      <c r="AH109" s="9"/>
      <c r="AJ109"/>
    </row>
    <row r="110" spans="34:36" ht="24.95" customHeight="1">
      <c r="AH110" s="9"/>
      <c r="AJ110"/>
    </row>
    <row r="111" spans="34:36" ht="24.95" customHeight="1">
      <c r="AH111" s="9"/>
      <c r="AJ111"/>
    </row>
    <row r="112" spans="34:36" ht="24.95" customHeight="1">
      <c r="AH112" s="9"/>
      <c r="AJ112"/>
    </row>
    <row r="113" spans="34:36" ht="24.95" customHeight="1">
      <c r="AH113" s="9"/>
      <c r="AJ113"/>
    </row>
    <row r="114" spans="34:36" ht="24.95" customHeight="1">
      <c r="AH114" s="9"/>
      <c r="AJ114"/>
    </row>
    <row r="115" spans="34:36" ht="24.95" customHeight="1">
      <c r="AH115" s="9"/>
      <c r="AJ115"/>
    </row>
    <row r="116" spans="34:36" ht="24.95" customHeight="1">
      <c r="AH116" s="9"/>
      <c r="AJ116"/>
    </row>
    <row r="117" spans="34:36" ht="24.95" customHeight="1">
      <c r="AH117" s="9"/>
      <c r="AJ117"/>
    </row>
    <row r="118" spans="34:36" ht="24.95" customHeight="1">
      <c r="AH118" s="9"/>
      <c r="AJ118"/>
    </row>
    <row r="119" spans="34:36">
      <c r="AH119" s="9"/>
      <c r="AJ119"/>
    </row>
    <row r="120" spans="34:36">
      <c r="AH120" s="9"/>
      <c r="AJ120"/>
    </row>
    <row r="121" spans="34:36">
      <c r="AH121" s="9"/>
      <c r="AJ121"/>
    </row>
    <row r="122" spans="34:36">
      <c r="AH122" s="9"/>
      <c r="AJ122"/>
    </row>
    <row r="123" spans="34:36">
      <c r="AH123" s="9"/>
      <c r="AJ123"/>
    </row>
    <row r="124" spans="34:36">
      <c r="AH124" s="9"/>
      <c r="AJ124"/>
    </row>
    <row r="125" spans="34:36">
      <c r="AH125" s="9"/>
      <c r="AJ125"/>
    </row>
    <row r="126" spans="34:36">
      <c r="AH126" s="9"/>
      <c r="AJ126"/>
    </row>
    <row r="127" spans="34:36">
      <c r="AH127" s="9"/>
      <c r="AJ127"/>
    </row>
    <row r="128" spans="34:36">
      <c r="AH128" s="9"/>
      <c r="AJ128"/>
    </row>
    <row r="129" spans="34:36">
      <c r="AH129" s="9"/>
      <c r="AJ129"/>
    </row>
    <row r="130" spans="34:36">
      <c r="AH130" s="9"/>
      <c r="AJ130"/>
    </row>
    <row r="999" spans="703:703">
      <c r="AAA999" t="s">
        <v>449</v>
      </c>
    </row>
  </sheetData>
  <sheetProtection password="DBEB" sheet="1" objects="1" scenarios="1"/>
  <protectedRanges>
    <protectedRange sqref="M29" name="Intervallo4"/>
    <protectedRange sqref="B8 D8" name="Intervallo1"/>
    <protectedRange sqref="B9 D9" name="Intervallo5"/>
    <protectedRange sqref="Q31" name="Intervallo3"/>
  </protectedRanges>
  <dataConsolidate/>
  <mergeCells count="40">
    <mergeCell ref="A1:E1"/>
    <mergeCell ref="H1:N2"/>
    <mergeCell ref="B8:D8"/>
    <mergeCell ref="B3:D4"/>
    <mergeCell ref="B5:D5"/>
    <mergeCell ref="E5:E7"/>
    <mergeCell ref="L4:L5"/>
    <mergeCell ref="A2:E2"/>
    <mergeCell ref="A3:A4"/>
    <mergeCell ref="E3:E4"/>
    <mergeCell ref="B6:D6"/>
    <mergeCell ref="M4:N4"/>
    <mergeCell ref="I4:K4"/>
    <mergeCell ref="B9:D9"/>
    <mergeCell ref="B7:D7"/>
    <mergeCell ref="H4:H5"/>
    <mergeCell ref="E22:E23"/>
    <mergeCell ref="A20:E20"/>
    <mergeCell ref="B14:D14"/>
    <mergeCell ref="B17:D17"/>
    <mergeCell ref="B10:D10"/>
    <mergeCell ref="B11:D11"/>
    <mergeCell ref="B15:D15"/>
    <mergeCell ref="B16:D16"/>
    <mergeCell ref="B46:D46"/>
    <mergeCell ref="B41:D41"/>
    <mergeCell ref="B42:D42"/>
    <mergeCell ref="B43:D43"/>
    <mergeCell ref="B45:D45"/>
    <mergeCell ref="B44:D44"/>
    <mergeCell ref="B32:D32"/>
    <mergeCell ref="A31:E31"/>
    <mergeCell ref="A29:E29"/>
    <mergeCell ref="B39:D39"/>
    <mergeCell ref="B40:D40"/>
    <mergeCell ref="B37:D37"/>
    <mergeCell ref="B38:D38"/>
    <mergeCell ref="B33:D33"/>
    <mergeCell ref="B34:D34"/>
    <mergeCell ref="B36:D36"/>
  </mergeCells>
  <phoneticPr fontId="2" type="noConversion"/>
  <conditionalFormatting sqref="E46">
    <cfRule type="colorScale" priority="4">
      <colorScale>
        <cfvo type="min" val="0"/>
        <cfvo type="max" val="0"/>
        <color rgb="FFFF7128"/>
        <color rgb="FFFFEF9C"/>
      </colorScale>
    </cfRule>
    <cfRule type="cellIs" dxfId="6" priority="3" operator="lessThan">
      <formula>$B$46&lt;0</formula>
    </cfRule>
    <cfRule type="cellIs" dxfId="5" priority="2" operator="lessThan">
      <formula>$B$46&lt;0</formula>
    </cfRule>
    <cfRule type="cellIs" dxfId="4" priority="1" operator="lessThan">
      <formula>$B$46&lt;0</formula>
    </cfRule>
  </conditionalFormatting>
  <dataValidations xWindow="384" yWindow="577" count="4">
    <dataValidation type="textLength" allowBlank="1" showInputMessage="1" showErrorMessage="1" sqref="M30:M1048576 N1:XFD1048576 M1:M28 B30:D36 B38:D1048576 B1:D7 E30:E36 F1:L1048576 E38:E1048576 E1:E28 B10:D28 A1:A28 A30:A1048576">
      <formula1>1000</formula1>
      <formula2>1000</formula2>
    </dataValidation>
    <dataValidation type="list" allowBlank="1" showInputMessage="1" showErrorMessage="1" sqref="B9:D9">
      <formula1>$T$4:$T$8</formula1>
    </dataValidation>
    <dataValidation type="list" allowBlank="1" showInputMessage="1" showErrorMessage="1" sqref="M29">
      <formula1>$Z$5:$Z$11</formula1>
    </dataValidation>
    <dataValidation type="whole" allowBlank="1" showInputMessage="1" showErrorMessage="1" error="valore massimo 3000 €" prompt="inserire costo unitario" sqref="B8:D8">
      <formula1>100</formula1>
      <formula2>2500</formula2>
    </dataValidation>
  </dataValidations>
  <pageMargins left="0.31496062992125984" right="0.35433070866141736" top="0.47244094488188981" bottom="0.51181102362204722" header="0.27559055118110237" footer="0.31496062992125984"/>
  <pageSetup paperSize="9" orientation="portrait" r:id="rId1"/>
  <headerFooter alignWithMargins="0">
    <oddHeader xml:space="preserve">&amp;C&amp;F v.1.0&amp;R  
</oddHeader>
    <oddFooter>&amp;C&amp;P/&amp;N</oddFooter>
  </headerFooter>
  <cellWatches>
    <cellWatch r="B8"/>
    <cellWatch r="B5"/>
  </cellWatche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3"/>
  <dimension ref="A1:FV276"/>
  <sheetViews>
    <sheetView workbookViewId="0">
      <selection activeCell="B8" sqref="B8"/>
    </sheetView>
  </sheetViews>
  <sheetFormatPr defaultRowHeight="15.75"/>
  <cols>
    <col min="1" max="1" width="35.7109375" style="9" customWidth="1"/>
    <col min="2" max="2" width="18.7109375" style="10" customWidth="1"/>
    <col min="3" max="3" width="33.7109375" style="10" customWidth="1"/>
    <col min="4" max="4" width="3.7109375" style="10" customWidth="1"/>
    <col min="5" max="5" width="5.7109375" style="458" customWidth="1"/>
    <col min="6" max="6" width="12.7109375" style="489" customWidth="1"/>
    <col min="7" max="7" width="15.7109375" style="56" customWidth="1"/>
    <col min="8" max="8" width="18.7109375" style="56" customWidth="1"/>
    <col min="9" max="9" width="20.7109375" style="56" customWidth="1"/>
    <col min="10" max="10" width="15.7109375" style="458" customWidth="1"/>
    <col min="11" max="12" width="15.7109375" style="56" customWidth="1"/>
    <col min="13" max="14" width="18.7109375" style="591" customWidth="1"/>
    <col min="15" max="16" width="18.7109375" style="56" customWidth="1"/>
    <col min="17" max="17" width="15.7109375" style="56" customWidth="1"/>
    <col min="18" max="18" width="15.7109375" style="56" hidden="1" customWidth="1"/>
    <col min="19" max="19" width="9.140625" hidden="1" customWidth="1"/>
    <col min="20" max="20" width="15.7109375" style="486" hidden="1" customWidth="1"/>
    <col min="21" max="23" width="15.7109375" style="527" hidden="1" customWidth="1"/>
    <col min="24" max="24" width="14.7109375" hidden="1" customWidth="1"/>
    <col min="25" max="25" width="15.7109375" style="458" hidden="1" customWidth="1"/>
    <col min="26" max="31" width="15.7109375" style="10" hidden="1" customWidth="1"/>
    <col min="32" max="34" width="15.7109375" style="357" hidden="1" customWidth="1"/>
    <col min="35" max="35" width="15.7109375" style="10" hidden="1" customWidth="1"/>
    <col min="36" max="36" width="15.7109375" style="362" hidden="1" customWidth="1"/>
    <col min="37" max="37" width="14.7109375" style="10" hidden="1" customWidth="1"/>
    <col min="38" max="42" width="15.7109375" style="184" hidden="1" customWidth="1"/>
    <col min="43" max="43" width="15.42578125" style="184" hidden="1" customWidth="1"/>
    <col min="44" max="45" width="15.7109375" style="184" hidden="1" customWidth="1"/>
    <col min="46" max="46" width="10.28515625" style="10" hidden="1" customWidth="1"/>
    <col min="47" max="47" width="9.28515625" style="9" hidden="1" customWidth="1"/>
    <col min="48" max="48" width="10.7109375" style="9" hidden="1" customWidth="1"/>
    <col min="49" max="49" width="9.140625" style="9" hidden="1" customWidth="1"/>
    <col min="50" max="50" width="12.85546875" style="9" hidden="1" customWidth="1"/>
    <col min="51" max="51" width="15.7109375" style="9" hidden="1" customWidth="1"/>
    <col min="52" max="52" width="15.7109375" style="10" hidden="1" customWidth="1"/>
    <col min="53" max="53" width="14.5703125" style="193" hidden="1" customWidth="1"/>
    <col min="54" max="54" width="9.28515625" style="10" hidden="1" customWidth="1"/>
    <col min="55" max="55" width="12.42578125" style="10" hidden="1" customWidth="1"/>
    <col min="56" max="56" width="12.42578125" style="197" hidden="1" customWidth="1"/>
    <col min="57" max="57" width="9.28515625" style="10" hidden="1" customWidth="1"/>
    <col min="58" max="58" width="15.42578125" style="197" hidden="1" customWidth="1"/>
    <col min="59" max="59" width="12.42578125" style="197" hidden="1" customWidth="1"/>
    <col min="60" max="61" width="9.28515625" style="10" hidden="1" customWidth="1"/>
    <col min="62" max="62" width="9.140625" hidden="1" customWidth="1"/>
    <col min="63" max="64" width="9.140625" style="10" hidden="1" customWidth="1"/>
    <col min="65" max="65" width="9.140625" style="382" hidden="1" customWidth="1"/>
    <col min="66" max="69" width="9.140625" style="10" hidden="1" customWidth="1"/>
    <col min="70" max="70" width="16" style="10" hidden="1" customWidth="1"/>
    <col min="71" max="71" width="13.7109375" style="10" hidden="1" customWidth="1"/>
    <col min="72" max="72" width="14.28515625" style="10" hidden="1" customWidth="1"/>
    <col min="73" max="87" width="9.140625" style="10" hidden="1" customWidth="1"/>
    <col min="88" max="88" width="7.140625" style="10" hidden="1" customWidth="1"/>
    <col min="89" max="89" width="6.85546875" style="10" hidden="1" customWidth="1"/>
    <col min="90" max="90" width="14.140625" style="10" hidden="1" customWidth="1"/>
    <col min="91" max="92" width="6.5703125" style="10" hidden="1" customWidth="1"/>
    <col min="93" max="93" width="6.85546875" style="10" hidden="1" customWidth="1"/>
    <col min="94" max="94" width="11.5703125" style="10" hidden="1" customWidth="1"/>
    <col min="95" max="95" width="11.28515625" style="10" hidden="1" customWidth="1"/>
    <col min="96" max="97" width="10.140625" style="10" hidden="1" customWidth="1"/>
    <col min="98" max="98" width="7.140625" style="10" hidden="1" customWidth="1"/>
    <col min="99" max="100" width="10.140625" style="10" hidden="1" customWidth="1"/>
    <col min="101" max="101" width="8.5703125" style="10" hidden="1" customWidth="1"/>
    <col min="102" max="102" width="13" style="10" hidden="1" customWidth="1"/>
    <col min="103" max="106" width="9.28515625" style="10" hidden="1" customWidth="1"/>
    <col min="107" max="107" width="9.140625" style="10" hidden="1" customWidth="1"/>
    <col min="108" max="109" width="9.28515625" style="10" hidden="1" customWidth="1"/>
    <col min="110" max="110" width="10.7109375" style="10" hidden="1" customWidth="1"/>
    <col min="111" max="112" width="9.140625" style="10" hidden="1" customWidth="1"/>
    <col min="113" max="119" width="9.140625" style="530" hidden="1" customWidth="1"/>
    <col min="120" max="120" width="13.28515625" style="530" hidden="1" customWidth="1"/>
    <col min="121" max="123" width="9.140625" style="10" hidden="1" customWidth="1"/>
    <col min="124" max="124" width="12.7109375" style="38" hidden="1" customWidth="1"/>
    <col min="125" max="125" width="13" style="38" hidden="1" customWidth="1"/>
    <col min="126" max="127" width="9.140625" style="10" hidden="1" customWidth="1"/>
    <col min="128" max="129" width="12.7109375" style="10" hidden="1" customWidth="1"/>
    <col min="130" max="132" width="9.140625" style="10" hidden="1" customWidth="1"/>
    <col min="133" max="133" width="10.7109375" style="10" hidden="1" customWidth="1"/>
    <col min="134" max="135" width="9.140625" style="10" hidden="1" customWidth="1"/>
    <col min="136" max="136" width="12.28515625" style="10" hidden="1" customWidth="1"/>
    <col min="137" max="137" width="9.140625" style="10" hidden="1" customWidth="1"/>
    <col min="138" max="139" width="9.140625" style="389" hidden="1" customWidth="1"/>
    <col min="140" max="142" width="9.140625" style="10" hidden="1" customWidth="1"/>
    <col min="143" max="146" width="9.140625" style="377" hidden="1" customWidth="1"/>
    <col min="147" max="150" width="9.140625" hidden="1" customWidth="1"/>
    <col min="151" max="175" width="9.140625" style="10" hidden="1" customWidth="1"/>
    <col min="176" max="177" width="9.140625" style="10" customWidth="1"/>
    <col min="178" max="178" width="9.140625" style="10" hidden="1" customWidth="1"/>
    <col min="179" max="16384" width="9.140625" style="10"/>
  </cols>
  <sheetData>
    <row r="1" spans="1:178" customFormat="1" ht="30" customHeight="1" thickBot="1">
      <c r="A1" s="845" t="s">
        <v>151</v>
      </c>
      <c r="B1" s="846"/>
      <c r="C1" s="846"/>
      <c r="D1" s="827"/>
      <c r="E1" s="569"/>
      <c r="H1" s="572"/>
      <c r="I1" s="171"/>
      <c r="K1" s="171"/>
      <c r="L1" s="171"/>
      <c r="M1" s="171"/>
      <c r="N1" s="171"/>
      <c r="O1" s="171"/>
      <c r="X1" s="50"/>
      <c r="Y1" s="51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70"/>
      <c r="AL1" s="184"/>
      <c r="AM1" s="184"/>
      <c r="AN1" s="184"/>
      <c r="AO1" s="184"/>
      <c r="AP1" s="184"/>
      <c r="AQ1" s="184"/>
      <c r="AR1" s="184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  <c r="CG1" s="569"/>
      <c r="CH1" s="569"/>
      <c r="DT1" s="38"/>
      <c r="DU1" s="38"/>
      <c r="DV1" s="569"/>
      <c r="DW1" s="569"/>
      <c r="DX1" s="569"/>
      <c r="DY1" s="569"/>
      <c r="DZ1" s="569"/>
      <c r="EA1" s="569"/>
      <c r="EB1" s="569"/>
      <c r="EC1" s="569"/>
      <c r="ED1" s="569"/>
      <c r="EE1" s="569"/>
      <c r="EF1" s="569"/>
      <c r="EG1" s="569"/>
      <c r="EH1" s="569"/>
      <c r="EI1" s="569"/>
      <c r="EJ1" s="569"/>
      <c r="EK1" s="569"/>
      <c r="EL1" s="377"/>
      <c r="EM1" s="377"/>
      <c r="EN1" s="377"/>
      <c r="EO1" s="377"/>
    </row>
    <row r="2" spans="1:178" customFormat="1" ht="20.100000000000001" customHeight="1" thickBot="1">
      <c r="A2" s="847" t="s">
        <v>429</v>
      </c>
      <c r="B2" s="848"/>
      <c r="C2" s="848"/>
      <c r="D2" s="849"/>
      <c r="E2" s="579"/>
      <c r="H2" s="171"/>
      <c r="I2" s="171"/>
      <c r="K2" s="171"/>
      <c r="L2" s="171"/>
      <c r="M2" s="171"/>
      <c r="N2" s="171"/>
      <c r="O2" s="171"/>
      <c r="X2" s="50"/>
      <c r="Y2" s="51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70"/>
      <c r="AL2" s="184"/>
      <c r="AM2" s="184"/>
      <c r="AN2" s="184"/>
      <c r="AO2" s="184"/>
      <c r="AP2" s="184"/>
      <c r="AQ2" s="184"/>
      <c r="AR2" s="184"/>
      <c r="BS2" s="569"/>
      <c r="BT2" s="569"/>
      <c r="BU2" s="569"/>
      <c r="BV2" s="569"/>
      <c r="BW2" s="569"/>
      <c r="BX2" s="569"/>
      <c r="BY2" s="569"/>
      <c r="BZ2" s="569"/>
      <c r="CA2" s="569"/>
      <c r="CB2" s="569"/>
      <c r="CC2" s="569"/>
      <c r="CD2" s="569"/>
      <c r="CE2" s="569"/>
      <c r="CF2" s="569"/>
      <c r="CG2" s="569"/>
      <c r="CH2" s="569"/>
      <c r="DT2" s="38"/>
      <c r="DU2" s="38"/>
      <c r="DV2" s="569"/>
      <c r="DW2" s="569"/>
      <c r="DX2" s="569"/>
      <c r="DY2" s="569"/>
      <c r="DZ2" s="569"/>
      <c r="EA2" s="569"/>
      <c r="EB2" s="569"/>
      <c r="EC2" s="569"/>
      <c r="ED2" s="569"/>
      <c r="EE2" s="569"/>
      <c r="EF2" s="569"/>
      <c r="EG2" s="569"/>
      <c r="EH2" s="569"/>
      <c r="EI2" s="569"/>
      <c r="EJ2" s="569"/>
      <c r="EK2" s="569"/>
      <c r="EL2" s="377"/>
      <c r="EM2" s="377"/>
      <c r="EN2" s="377"/>
      <c r="EO2" s="377"/>
    </row>
    <row r="3" spans="1:178" s="569" customFormat="1" ht="5.0999999999999996" customHeight="1" thickBot="1">
      <c r="A3" s="850"/>
      <c r="B3" s="851"/>
      <c r="C3" s="851"/>
      <c r="D3" s="851"/>
      <c r="E3" s="614"/>
      <c r="F3" s="568"/>
      <c r="G3" s="491"/>
      <c r="H3" s="491"/>
      <c r="I3" s="491"/>
      <c r="J3" s="567"/>
      <c r="K3" s="491"/>
      <c r="L3" s="491"/>
      <c r="M3" s="590"/>
      <c r="N3" s="590"/>
      <c r="O3" s="491"/>
      <c r="P3" s="491"/>
      <c r="Q3" s="491"/>
      <c r="R3" s="491"/>
      <c r="S3"/>
      <c r="T3" s="567"/>
      <c r="U3" s="567"/>
      <c r="V3" s="567"/>
      <c r="W3" s="567"/>
      <c r="X3"/>
      <c r="Y3" s="567"/>
      <c r="Z3" s="5"/>
      <c r="AJ3" s="570"/>
      <c r="AL3" s="184"/>
      <c r="AM3" s="184"/>
      <c r="AN3" s="184"/>
      <c r="AO3" s="184"/>
      <c r="AP3" s="184"/>
      <c r="AQ3" s="184"/>
      <c r="AR3" s="184"/>
      <c r="AS3" s="184"/>
      <c r="AU3" s="570"/>
      <c r="AV3" s="570"/>
      <c r="AW3" s="570"/>
      <c r="AX3" s="570"/>
      <c r="AY3" s="570"/>
      <c r="AZ3"/>
      <c r="BA3"/>
      <c r="BB3"/>
      <c r="BC3"/>
      <c r="BD3"/>
      <c r="BE3"/>
      <c r="BF3"/>
      <c r="BG3"/>
      <c r="BH3"/>
      <c r="BI3"/>
      <c r="BJ3"/>
      <c r="BK3"/>
      <c r="BL3"/>
      <c r="CI3"/>
      <c r="DG3" s="530"/>
      <c r="DH3" s="530"/>
      <c r="DI3" s="530"/>
      <c r="DJ3" s="530"/>
      <c r="DK3" s="530"/>
      <c r="DL3" s="530"/>
      <c r="DM3" s="530"/>
      <c r="DN3" s="530"/>
      <c r="DR3" s="38"/>
      <c r="DS3" s="38"/>
      <c r="DT3" s="38"/>
      <c r="DU3" s="38"/>
      <c r="EL3" s="377"/>
      <c r="EM3" s="377"/>
      <c r="EN3" s="377"/>
      <c r="EO3" s="377"/>
      <c r="EP3"/>
      <c r="EQ3"/>
      <c r="ER3"/>
      <c r="ES3"/>
    </row>
    <row r="4" spans="1:178" s="569" customFormat="1" ht="24.95" customHeight="1" thickTop="1" thickBot="1">
      <c r="A4" s="844" t="s">
        <v>99</v>
      </c>
      <c r="B4" s="740"/>
      <c r="C4" s="740"/>
      <c r="D4" s="741"/>
      <c r="E4" s="171"/>
      <c r="F4" s="568"/>
      <c r="G4" s="491"/>
      <c r="H4" s="491"/>
      <c r="I4" s="491"/>
      <c r="J4" s="567"/>
      <c r="K4" s="491"/>
      <c r="L4" s="491"/>
      <c r="M4" s="590"/>
      <c r="N4" s="590"/>
      <c r="O4" s="491"/>
      <c r="P4" s="491"/>
      <c r="Q4" s="491"/>
      <c r="R4" s="491"/>
      <c r="S4"/>
      <c r="T4" s="567"/>
      <c r="U4" s="567"/>
      <c r="V4" s="567"/>
      <c r="W4" s="567"/>
      <c r="X4"/>
      <c r="Y4" s="567"/>
      <c r="Z4" s="5"/>
      <c r="AA4" s="5"/>
      <c r="AB4" s="52"/>
      <c r="AC4"/>
      <c r="AD4" s="51"/>
      <c r="AE4"/>
      <c r="AF4" s="5"/>
      <c r="AG4"/>
      <c r="AH4"/>
      <c r="AI4"/>
      <c r="AJ4" s="570"/>
      <c r="AL4" s="184"/>
      <c r="AM4" s="184"/>
      <c r="AN4" s="184"/>
      <c r="AO4" s="184"/>
      <c r="AP4" s="184"/>
      <c r="AQ4" s="184"/>
      <c r="AR4" s="184"/>
      <c r="AS4" s="184"/>
      <c r="AU4" s="570"/>
      <c r="AV4" s="570"/>
      <c r="AW4" s="570"/>
      <c r="AX4" s="570"/>
      <c r="AY4" s="570"/>
      <c r="AZ4"/>
      <c r="BA4"/>
      <c r="BB4"/>
      <c r="BC4"/>
      <c r="BD4"/>
      <c r="BE4"/>
      <c r="BF4"/>
      <c r="BG4"/>
      <c r="BH4"/>
      <c r="BI4"/>
      <c r="BJ4"/>
      <c r="BK4"/>
      <c r="BL4"/>
      <c r="CI4" s="66"/>
      <c r="DI4" s="530"/>
      <c r="DJ4" s="530"/>
      <c r="DK4" s="530"/>
      <c r="DL4" s="530"/>
      <c r="DM4" s="530"/>
      <c r="DN4" s="530"/>
      <c r="DO4" s="530"/>
      <c r="DP4" s="530"/>
      <c r="DT4" s="38"/>
      <c r="DU4" s="38"/>
      <c r="EL4" s="377"/>
      <c r="EM4" s="377"/>
      <c r="EN4" s="377"/>
      <c r="EO4" s="377"/>
      <c r="EP4"/>
      <c r="EQ4"/>
      <c r="ER4"/>
      <c r="ES4"/>
    </row>
    <row r="5" spans="1:178" ht="24.95" customHeight="1" thickTop="1" thickBot="1">
      <c r="A5" s="573"/>
      <c r="B5" s="171"/>
      <c r="C5" s="171"/>
      <c r="D5" s="171"/>
      <c r="E5" s="614"/>
      <c r="G5" s="491"/>
      <c r="H5" s="491"/>
      <c r="I5" s="491"/>
      <c r="J5" s="457"/>
      <c r="K5" s="491"/>
      <c r="L5" s="491"/>
      <c r="M5" s="590"/>
      <c r="N5" s="590"/>
      <c r="O5" s="491"/>
      <c r="P5" s="491"/>
      <c r="Q5" s="491"/>
      <c r="R5" s="491"/>
      <c r="T5" s="485"/>
      <c r="U5" s="526"/>
      <c r="V5" s="526"/>
      <c r="W5" s="526"/>
      <c r="Y5" s="457"/>
      <c r="AH5" s="814" t="s">
        <v>372</v>
      </c>
      <c r="AI5" s="815" t="s">
        <v>367</v>
      </c>
      <c r="AJ5" s="363"/>
      <c r="AZ5"/>
      <c r="BA5"/>
      <c r="BB5"/>
      <c r="BC5"/>
      <c r="BD5"/>
      <c r="BE5"/>
      <c r="BF5"/>
      <c r="BG5"/>
      <c r="BH5"/>
      <c r="BI5"/>
      <c r="BK5"/>
      <c r="BL5"/>
      <c r="BV5" s="39"/>
      <c r="BW5" s="811" t="s">
        <v>110</v>
      </c>
      <c r="BX5" s="812"/>
      <c r="BY5" s="812"/>
      <c r="BZ5" s="812"/>
      <c r="CA5" s="812"/>
      <c r="CB5" s="813"/>
      <c r="CC5" s="40" t="s">
        <v>111</v>
      </c>
      <c r="CD5" s="810" t="s">
        <v>112</v>
      </c>
      <c r="CE5" s="810"/>
      <c r="CF5" s="810"/>
      <c r="CG5" s="810"/>
      <c r="CH5" s="810"/>
      <c r="CI5" s="810"/>
    </row>
    <row r="6" spans="1:178" ht="24.95" hidden="1" customHeight="1" thickBot="1">
      <c r="A6" s="10"/>
      <c r="B6" s="609"/>
      <c r="C6" s="609"/>
      <c r="D6" s="609"/>
      <c r="E6" s="171"/>
      <c r="Z6" s="47"/>
      <c r="AA6" s="10" t="s">
        <v>245</v>
      </c>
      <c r="AB6" s="10" t="s">
        <v>244</v>
      </c>
      <c r="AD6" s="357" t="s">
        <v>367</v>
      </c>
      <c r="AH6" s="667"/>
      <c r="AI6" s="667"/>
      <c r="AM6" s="359" t="s">
        <v>370</v>
      </c>
      <c r="AN6" s="359" t="s">
        <v>371</v>
      </c>
      <c r="AQ6" s="10" t="s">
        <v>332</v>
      </c>
      <c r="AR6" s="10" t="s">
        <v>333</v>
      </c>
      <c r="AS6" s="10"/>
      <c r="BG6" s="197">
        <f>B31</f>
        <v>2829.48</v>
      </c>
      <c r="BI6" s="188"/>
      <c r="BK6" s="10" t="s">
        <v>241</v>
      </c>
      <c r="BN6" s="10">
        <v>0</v>
      </c>
      <c r="BO6" s="10">
        <v>10</v>
      </c>
      <c r="BP6" s="10">
        <v>90</v>
      </c>
      <c r="BT6" s="41" t="s">
        <v>122</v>
      </c>
      <c r="BU6" s="41"/>
      <c r="BV6" s="41" t="s">
        <v>113</v>
      </c>
      <c r="BW6" s="41" t="s">
        <v>114</v>
      </c>
      <c r="BX6" s="41" t="s">
        <v>115</v>
      </c>
      <c r="BY6" s="41" t="s">
        <v>116</v>
      </c>
      <c r="BZ6" s="41" t="s">
        <v>117</v>
      </c>
      <c r="CA6" s="41" t="s">
        <v>118</v>
      </c>
      <c r="CB6" s="41" t="s">
        <v>119</v>
      </c>
      <c r="CC6" s="41" t="s">
        <v>125</v>
      </c>
      <c r="CD6" s="41" t="s">
        <v>128</v>
      </c>
      <c r="CE6" s="41" t="s">
        <v>126</v>
      </c>
      <c r="CF6" s="41" t="s">
        <v>129</v>
      </c>
      <c r="CG6" s="41" t="s">
        <v>130</v>
      </c>
      <c r="CH6" s="41" t="s">
        <v>131</v>
      </c>
      <c r="EI6" s="389" t="str">
        <f>'gamma celle'!C2</f>
        <v>ENERGIA ACCUMULABILE
NETTA UTILE
kwh/anno</v>
      </c>
    </row>
    <row r="7" spans="1:178" ht="24.95" hidden="1" customHeight="1" thickBot="1">
      <c r="A7" s="11" t="s">
        <v>100</v>
      </c>
      <c r="B7" s="33" t="s">
        <v>22</v>
      </c>
      <c r="E7" s="171"/>
      <c r="AA7" s="10">
        <f>47/100</f>
        <v>0.47</v>
      </c>
      <c r="AB7" s="10">
        <f t="shared" ref="AB7:AB18" si="0">AA7*$AM7</f>
        <v>112.61010025506374</v>
      </c>
      <c r="AC7" s="10">
        <v>1.4005731863257951</v>
      </c>
      <c r="AD7" s="10">
        <f>AC7*Redditività!$B$9</f>
        <v>0.42017195589773854</v>
      </c>
      <c r="AE7" s="10">
        <f t="shared" ref="AE7:AE18" si="1">IF( $B$11=0,$AD7*$AN7,$AD7*$AM7)</f>
        <v>100.67150229363949</v>
      </c>
      <c r="AF7" s="357" t="s">
        <v>368</v>
      </c>
      <c r="AG7" s="358">
        <f>IF(B11=0,B12*B19,$B$11*$B$19)</f>
        <v>5176.3599999999997</v>
      </c>
      <c r="AH7" s="357">
        <f t="shared" ref="AH7:AH18" si="2">$AD7*$AM7</f>
        <v>100.67150229363949</v>
      </c>
      <c r="AI7" s="365">
        <f t="shared" ref="AI7:AI18" si="3">$AD7*$AN7</f>
        <v>100.67150229363949</v>
      </c>
      <c r="AL7" s="10" t="s">
        <v>191</v>
      </c>
      <c r="AM7" s="360">
        <f>$B$11*$B$19/$DP$45*$DP$33*31</f>
        <v>239.59595798949735</v>
      </c>
      <c r="AN7" s="357">
        <f>$B$20/$DP$45*$DP$33*31</f>
        <v>239.59595798949735</v>
      </c>
      <c r="AO7" s="10"/>
      <c r="AP7" s="56">
        <f t="shared" ref="AP7:AP18" si="4">AQ7+H51</f>
        <v>10.976369686552802</v>
      </c>
      <c r="AQ7" s="10">
        <f t="shared" ref="AQ7:AQ18" si="5">IF(G51&gt;J51,J51,G51)</f>
        <v>7.7289018706289472</v>
      </c>
      <c r="AR7" s="10">
        <f>AQ7*31*BC8</f>
        <v>179.69696849212301</v>
      </c>
      <c r="AS7" s="10"/>
      <c r="AZ7" s="10" t="s">
        <v>292</v>
      </c>
      <c r="BA7" s="10"/>
      <c r="BB7" s="10" t="s">
        <v>247</v>
      </c>
      <c r="BC7" s="10" t="s">
        <v>242</v>
      </c>
      <c r="BD7" s="197" t="s">
        <v>246</v>
      </c>
      <c r="BF7" s="38" t="s">
        <v>243</v>
      </c>
      <c r="BG7" s="197" t="s">
        <v>240</v>
      </c>
      <c r="BH7" s="198"/>
      <c r="BI7" s="198"/>
      <c r="BT7" s="43">
        <v>0</v>
      </c>
      <c r="BU7" s="43"/>
      <c r="BV7" s="42">
        <v>0.88</v>
      </c>
      <c r="BW7" s="42">
        <v>0.88</v>
      </c>
      <c r="BX7" s="42">
        <v>0.88</v>
      </c>
      <c r="BY7" s="42">
        <v>0.88</v>
      </c>
      <c r="BZ7" s="42">
        <v>0.88</v>
      </c>
      <c r="CA7" s="42">
        <v>0.88</v>
      </c>
      <c r="CB7" s="42">
        <v>0.88</v>
      </c>
      <c r="CC7" s="42">
        <v>0.88</v>
      </c>
      <c r="CD7" s="42">
        <v>0.88</v>
      </c>
      <c r="CE7" s="42">
        <v>0.88</v>
      </c>
      <c r="CF7" s="42">
        <v>0.88</v>
      </c>
      <c r="CG7" s="42">
        <v>0.88</v>
      </c>
      <c r="CH7" s="42">
        <v>0.88</v>
      </c>
      <c r="DT7" s="835" t="s">
        <v>261</v>
      </c>
      <c r="DU7" s="835"/>
      <c r="DV7" s="201"/>
      <c r="DW7" s="201"/>
      <c r="DX7" s="836" t="s">
        <v>363</v>
      </c>
      <c r="DY7" s="836"/>
      <c r="DZ7" s="836"/>
      <c r="EA7" s="836"/>
      <c r="EB7" s="201"/>
      <c r="EC7" s="829" t="s">
        <v>263</v>
      </c>
      <c r="ED7" s="829"/>
      <c r="EE7" s="829"/>
      <c r="EF7" s="829"/>
      <c r="EI7" s="389" t="str">
        <f>'gamma celle'!C3</f>
        <v>0</v>
      </c>
      <c r="EM7" s="383" t="s">
        <v>403</v>
      </c>
      <c r="EN7" s="383"/>
      <c r="EO7" s="383"/>
      <c r="EP7" s="383"/>
      <c r="ER7" s="375"/>
    </row>
    <row r="8" spans="1:178" ht="45" customHeight="1" thickBot="1">
      <c r="A8" s="11" t="s">
        <v>100</v>
      </c>
      <c r="B8" s="624" t="s">
        <v>212</v>
      </c>
      <c r="C8" s="62" t="s">
        <v>190</v>
      </c>
      <c r="D8" s="615">
        <f>DGET($CK$16:$CO$118,$CK$16,$B$7:$B$8)</f>
        <v>3</v>
      </c>
      <c r="E8" s="171"/>
      <c r="AA8" s="10">
        <f>40/100</f>
        <v>0.4</v>
      </c>
      <c r="AB8" s="10">
        <f t="shared" si="0"/>
        <v>124.57436519129783</v>
      </c>
      <c r="AC8" s="10">
        <v>1.1919771798517407</v>
      </c>
      <c r="AD8" s="10">
        <f>AC8*Redditività!$B$9</f>
        <v>0.35759315395552221</v>
      </c>
      <c r="AE8" s="486">
        <f t="shared" si="1"/>
        <v>111.36735037690804</v>
      </c>
      <c r="AH8" s="357">
        <f t="shared" si="2"/>
        <v>111.36735037690804</v>
      </c>
      <c r="AI8" s="365">
        <f t="shared" si="3"/>
        <v>111.36735037690804</v>
      </c>
      <c r="AL8" s="10" t="s">
        <v>192</v>
      </c>
      <c r="AM8" s="360">
        <f>$B$11*$B$19/$DP$45*$DP$34*28</f>
        <v>311.43591297824457</v>
      </c>
      <c r="AN8" s="357">
        <f>$B$20/$DP$45*$DP$34*28</f>
        <v>311.43591297824457</v>
      </c>
      <c r="AO8" s="10"/>
      <c r="AP8" s="56">
        <f t="shared" si="4"/>
        <v>11.729405370603859</v>
      </c>
      <c r="AQ8" s="10">
        <f t="shared" si="5"/>
        <v>7.7519999999999998</v>
      </c>
      <c r="AR8" s="10">
        <f>AQ8*28*BC9</f>
        <v>188.11519999999999</v>
      </c>
      <c r="AS8" s="10"/>
      <c r="AZ8" s="56">
        <f>L51*31</f>
        <v>400.7068493150685</v>
      </c>
      <c r="BA8" s="150">
        <f t="shared" ref="BA8:BA19" si="6">IF(G51&gt;J51,IF($B$31=0,0,1),1)</f>
        <v>1</v>
      </c>
      <c r="BB8" s="56">
        <v>0.75</v>
      </c>
      <c r="BC8" s="150">
        <f>BB8*BA8</f>
        <v>0.75</v>
      </c>
      <c r="BD8" s="199">
        <f>N51*31</f>
        <v>204.86484406553288</v>
      </c>
      <c r="BF8" s="199">
        <f>P51*31</f>
        <v>34.731113923964479</v>
      </c>
      <c r="BG8" s="199">
        <f>O51*31</f>
        <v>235.01040629944274</v>
      </c>
      <c r="BH8" s="369" t="s">
        <v>191</v>
      </c>
      <c r="BI8" s="198"/>
      <c r="BK8" s="10" t="s">
        <v>294</v>
      </c>
      <c r="BL8" s="200">
        <f>DZ43</f>
        <v>26.659017275942919</v>
      </c>
      <c r="BT8" s="43">
        <v>5</v>
      </c>
      <c r="BU8" s="43"/>
      <c r="BV8" s="42">
        <v>0.88</v>
      </c>
      <c r="BW8" s="42">
        <v>0.88</v>
      </c>
      <c r="BX8" s="42">
        <v>0.89</v>
      </c>
      <c r="BY8" s="42">
        <v>0.9</v>
      </c>
      <c r="BZ8" s="42">
        <v>0.91</v>
      </c>
      <c r="CA8" s="42">
        <v>0.91</v>
      </c>
      <c r="CB8" s="42">
        <v>0.91</v>
      </c>
      <c r="CC8" s="42">
        <v>0.91</v>
      </c>
      <c r="CD8" s="42">
        <v>0.91</v>
      </c>
      <c r="CE8" s="42">
        <v>0.9</v>
      </c>
      <c r="CF8" s="42">
        <v>0.89</v>
      </c>
      <c r="CG8" s="42">
        <v>0.88</v>
      </c>
      <c r="CH8" s="42">
        <v>0.88</v>
      </c>
      <c r="DT8" s="296"/>
      <c r="DU8" s="296"/>
      <c r="DV8" s="202"/>
      <c r="DW8" s="202"/>
      <c r="DX8" s="202"/>
      <c r="DY8" s="202"/>
      <c r="DZ8" s="203"/>
      <c r="EA8" s="203"/>
      <c r="EB8" s="202"/>
      <c r="EC8" s="202"/>
      <c r="ED8" s="202"/>
      <c r="EE8" s="202"/>
      <c r="EF8" s="202"/>
      <c r="EI8" s="389">
        <f>'gamma celle'!C4</f>
        <v>565.89599999999996</v>
      </c>
      <c r="EN8" s="384" t="s">
        <v>404</v>
      </c>
      <c r="EO8" s="384" t="s">
        <v>405</v>
      </c>
      <c r="ER8" s="375" t="s">
        <v>411</v>
      </c>
    </row>
    <row r="9" spans="1:178" ht="45" customHeight="1" thickTop="1" thickBot="1">
      <c r="A9" s="25" t="s">
        <v>121</v>
      </c>
      <c r="B9" s="624" t="s">
        <v>119</v>
      </c>
      <c r="C9" s="854"/>
      <c r="D9" s="827"/>
      <c r="F9" s="516"/>
      <c r="G9" s="492"/>
      <c r="H9" s="492"/>
      <c r="I9" s="492"/>
      <c r="J9" s="68"/>
      <c r="K9" s="492"/>
      <c r="L9" s="492"/>
      <c r="M9" s="68"/>
      <c r="N9" s="68"/>
      <c r="O9" s="492"/>
      <c r="P9" s="492"/>
      <c r="Q9" s="492"/>
      <c r="R9" s="492"/>
      <c r="T9" s="68"/>
      <c r="U9" s="68"/>
      <c r="V9" s="68"/>
      <c r="W9" s="68"/>
      <c r="Y9" s="68"/>
      <c r="AA9" s="10">
        <f>33/100</f>
        <v>0.33</v>
      </c>
      <c r="AB9" s="10">
        <f t="shared" si="0"/>
        <v>151.21339714928732</v>
      </c>
      <c r="AC9" s="10">
        <v>0.98338117337768605</v>
      </c>
      <c r="AD9" s="10">
        <f>AC9*Redditività!$B$9</f>
        <v>0.29501435201330578</v>
      </c>
      <c r="AE9" s="486">
        <f t="shared" si="1"/>
        <v>135.18218901735654</v>
      </c>
      <c r="AH9" s="357">
        <f t="shared" si="2"/>
        <v>135.18218901735654</v>
      </c>
      <c r="AI9" s="365">
        <f t="shared" si="3"/>
        <v>135.18218901735654</v>
      </c>
      <c r="AL9" s="10" t="s">
        <v>193</v>
      </c>
      <c r="AM9" s="360">
        <f>$B$11*$B$19/$DP$45*DP35*31</f>
        <v>458.22241560390097</v>
      </c>
      <c r="AN9" s="357">
        <f>$B$20/$DP$45*DP35*31</f>
        <v>458.22241560390097</v>
      </c>
      <c r="AO9" s="10"/>
      <c r="AP9" s="56">
        <f t="shared" si="4"/>
        <v>12.112715774753436</v>
      </c>
      <c r="AQ9" s="10">
        <f t="shared" si="5"/>
        <v>7.7519999999999998</v>
      </c>
      <c r="AR9" s="10">
        <f>AQ9*31*BC10</f>
        <v>194.65271999999999</v>
      </c>
      <c r="AS9" s="10"/>
      <c r="AZ9" s="56">
        <f>L52*28</f>
        <v>361.92876712328768</v>
      </c>
      <c r="BA9" s="150">
        <f t="shared" si="6"/>
        <v>1</v>
      </c>
      <c r="BB9" s="56">
        <f>26/30</f>
        <v>0.8666666666666667</v>
      </c>
      <c r="BC9" s="150">
        <f t="shared" ref="BC9:BC19" si="7">BB9*BA9</f>
        <v>0.8666666666666667</v>
      </c>
      <c r="BD9" s="199">
        <f>N52*28</f>
        <v>284.76010463139971</v>
      </c>
      <c r="BF9" s="199">
        <f>P52*28</f>
        <v>26.675808346844867</v>
      </c>
      <c r="BG9" s="199">
        <f>O52*28</f>
        <v>88.743961865671181</v>
      </c>
      <c r="BH9" s="369" t="s">
        <v>192</v>
      </c>
      <c r="BI9" s="198"/>
      <c r="BT9" s="43">
        <v>10</v>
      </c>
      <c r="BU9" s="43"/>
      <c r="BV9" s="42">
        <v>0.88</v>
      </c>
      <c r="BW9" s="42" t="s">
        <v>120</v>
      </c>
      <c r="BX9" s="42">
        <v>0.9</v>
      </c>
      <c r="BY9" s="42">
        <v>0.92</v>
      </c>
      <c r="BZ9" s="46">
        <v>0.94</v>
      </c>
      <c r="CA9" s="46">
        <v>0.94</v>
      </c>
      <c r="CB9" s="42">
        <v>0.95</v>
      </c>
      <c r="CC9" s="46">
        <v>0.94</v>
      </c>
      <c r="CD9" s="46">
        <v>0.94</v>
      </c>
      <c r="CE9" s="42">
        <v>0.92</v>
      </c>
      <c r="CF9" s="42">
        <v>0.9</v>
      </c>
      <c r="CG9" s="42" t="s">
        <v>120</v>
      </c>
      <c r="CH9" s="42">
        <v>0.88</v>
      </c>
      <c r="DT9" s="831" t="s">
        <v>264</v>
      </c>
      <c r="DU9" s="831"/>
      <c r="DV9" s="204" t="s">
        <v>265</v>
      </c>
      <c r="DW9" s="205">
        <f>EA9</f>
        <v>62</v>
      </c>
      <c r="DX9" s="832" t="s">
        <v>266</v>
      </c>
      <c r="DY9" s="832"/>
      <c r="DZ9" s="204" t="s">
        <v>265</v>
      </c>
      <c r="EA9" s="205">
        <v>62</v>
      </c>
      <c r="EB9" s="206"/>
      <c r="EC9" s="833" t="s">
        <v>267</v>
      </c>
      <c r="ED9" s="833"/>
      <c r="EE9" s="833"/>
      <c r="EF9" s="833"/>
      <c r="EI9" s="389">
        <f>'gamma celle'!C5</f>
        <v>707.37</v>
      </c>
      <c r="EN9" s="385">
        <f>EA9</f>
        <v>62</v>
      </c>
      <c r="EO9" s="385">
        <f>DV15</f>
        <v>482.77090986325572</v>
      </c>
      <c r="ER9" s="375">
        <v>365</v>
      </c>
    </row>
    <row r="10" spans="1:178" ht="45" customHeight="1" thickBot="1">
      <c r="A10" s="11" t="s">
        <v>101</v>
      </c>
      <c r="B10" s="624">
        <v>30</v>
      </c>
      <c r="C10" s="871" t="s">
        <v>124</v>
      </c>
      <c r="D10" s="872"/>
      <c r="E10" s="68"/>
      <c r="F10" s="517"/>
      <c r="G10" s="493"/>
      <c r="H10" s="493"/>
      <c r="I10" s="493"/>
      <c r="J10" s="171"/>
      <c r="K10" s="493"/>
      <c r="L10" s="493"/>
      <c r="M10" s="171"/>
      <c r="N10" s="171"/>
      <c r="O10" s="493"/>
      <c r="P10" s="493"/>
      <c r="Q10" s="493"/>
      <c r="R10" s="493"/>
      <c r="T10" s="171"/>
      <c r="U10" s="171"/>
      <c r="V10" s="171"/>
      <c r="W10" s="171"/>
      <c r="Y10" s="171"/>
      <c r="Z10" s="68"/>
      <c r="AA10" s="10">
        <f>30/100</f>
        <v>0.3</v>
      </c>
      <c r="AB10" s="10">
        <f t="shared" si="0"/>
        <v>149.11644711177792</v>
      </c>
      <c r="AC10" s="10">
        <v>0.8939828848888054</v>
      </c>
      <c r="AD10" s="10">
        <f>AC10*Redditività!$B$9</f>
        <v>0.26819486546664162</v>
      </c>
      <c r="AE10" s="486">
        <f t="shared" si="1"/>
        <v>133.30755157335619</v>
      </c>
      <c r="AH10" s="357">
        <f t="shared" si="2"/>
        <v>133.30755157335619</v>
      </c>
      <c r="AI10" s="365">
        <f t="shared" si="3"/>
        <v>133.30755157335619</v>
      </c>
      <c r="AL10" s="10" t="s">
        <v>194</v>
      </c>
      <c r="AM10" s="361">
        <f>$B$11*$B$19/$DP$45*$DP$36*30</f>
        <v>497.05482370592637</v>
      </c>
      <c r="AN10" s="357">
        <f>$B$20/$DP$45*DP36*30</f>
        <v>497.05482370592637</v>
      </c>
      <c r="AO10" s="10"/>
      <c r="AP10" s="56">
        <f t="shared" si="4"/>
        <v>12.195585052445207</v>
      </c>
      <c r="AQ10" s="10">
        <f t="shared" si="5"/>
        <v>7.7519999999999998</v>
      </c>
      <c r="AR10" s="10">
        <f>AQ10*30*BC11</f>
        <v>217.05600000000001</v>
      </c>
      <c r="AS10" s="10"/>
      <c r="AZ10" s="56">
        <f>L53*31</f>
        <v>400.7068493150685</v>
      </c>
      <c r="BA10" s="150">
        <f t="shared" si="6"/>
        <v>1</v>
      </c>
      <c r="BB10" s="56">
        <v>0.81</v>
      </c>
      <c r="BC10" s="150">
        <f t="shared" si="7"/>
        <v>0.81</v>
      </c>
      <c r="BD10" s="199">
        <f>N53*31</f>
        <v>375.49418901735652</v>
      </c>
      <c r="BF10" s="199">
        <f>P53*31</f>
        <v>82.728226586544451</v>
      </c>
      <c r="BG10" s="199">
        <f>O53*31</f>
        <v>27.733926327483168</v>
      </c>
      <c r="BH10" s="369" t="s">
        <v>193</v>
      </c>
      <c r="BI10" s="198"/>
      <c r="BK10" s="10" t="s">
        <v>295</v>
      </c>
      <c r="BL10" s="200">
        <f>DZ62</f>
        <v>17.799410520944488</v>
      </c>
      <c r="BT10" s="43">
        <v>15</v>
      </c>
      <c r="BU10" s="43"/>
      <c r="BV10" s="42">
        <v>0.87</v>
      </c>
      <c r="BW10" s="42">
        <v>0.89</v>
      </c>
      <c r="BX10" s="42">
        <v>0.92</v>
      </c>
      <c r="BY10" s="42">
        <v>0.93</v>
      </c>
      <c r="BZ10" s="42">
        <v>0.95</v>
      </c>
      <c r="CA10" s="42">
        <v>0.96</v>
      </c>
      <c r="CB10" s="42">
        <v>0.97</v>
      </c>
      <c r="CC10" s="42">
        <v>0.96</v>
      </c>
      <c r="CD10" s="42">
        <v>0.95</v>
      </c>
      <c r="CE10" s="42">
        <v>0.93</v>
      </c>
      <c r="CF10" s="42">
        <v>0.92</v>
      </c>
      <c r="CG10" s="42">
        <v>0.89</v>
      </c>
      <c r="CH10" s="42">
        <v>0.87</v>
      </c>
      <c r="DT10" s="297" t="s">
        <v>202</v>
      </c>
      <c r="DU10" s="298" t="s">
        <v>191</v>
      </c>
      <c r="DV10" s="207" t="s">
        <v>268</v>
      </c>
      <c r="DW10" s="208">
        <v>0.17260273972602741</v>
      </c>
      <c r="DX10" s="209"/>
      <c r="DY10" s="209"/>
      <c r="DZ10" s="207" t="s">
        <v>268</v>
      </c>
      <c r="EA10" s="210">
        <f>EA9/365</f>
        <v>0.16986301369863013</v>
      </c>
      <c r="EB10" s="155"/>
      <c r="EC10" s="155" t="s">
        <v>253</v>
      </c>
      <c r="ED10" s="155" t="s">
        <v>254</v>
      </c>
      <c r="EE10" s="155" t="s">
        <v>255</v>
      </c>
      <c r="EF10" s="155" t="s">
        <v>256</v>
      </c>
      <c r="EI10" s="389">
        <f>'gamma celle'!C6</f>
        <v>919.5809999999999</v>
      </c>
      <c r="ER10" s="375"/>
    </row>
    <row r="11" spans="1:178" ht="45" customHeight="1" thickBot="1">
      <c r="A11" s="25" t="s">
        <v>152</v>
      </c>
      <c r="B11" s="625">
        <v>4</v>
      </c>
      <c r="C11" s="854"/>
      <c r="D11" s="827"/>
      <c r="E11" s="171"/>
      <c r="F11" s="517"/>
      <c r="G11" s="493"/>
      <c r="H11" s="493"/>
      <c r="I11" s="493"/>
      <c r="J11" s="171"/>
      <c r="K11" s="493"/>
      <c r="L11" s="493"/>
      <c r="M11" s="171"/>
      <c r="N11" s="171"/>
      <c r="O11" s="493"/>
      <c r="P11" s="493"/>
      <c r="Q11" s="607"/>
      <c r="R11" s="493"/>
      <c r="T11" s="171"/>
      <c r="U11" s="171"/>
      <c r="V11" s="171"/>
      <c r="W11" s="171"/>
      <c r="Y11" s="171"/>
      <c r="Z11" s="171"/>
      <c r="AA11" s="10">
        <f>30/100</f>
        <v>0.3</v>
      </c>
      <c r="AB11" s="10">
        <f t="shared" si="0"/>
        <v>165.42605851462864</v>
      </c>
      <c r="AC11" s="10">
        <v>0.8939828848888054</v>
      </c>
      <c r="AD11" s="10">
        <f>AC11*Redditività!$B$9</f>
        <v>0.26819486546664162</v>
      </c>
      <c r="AE11" s="486">
        <f t="shared" si="1"/>
        <v>147.88806502669203</v>
      </c>
      <c r="AH11" s="357">
        <f t="shared" si="2"/>
        <v>147.88806502669203</v>
      </c>
      <c r="AI11" s="365">
        <f t="shared" si="3"/>
        <v>147.88806502669203</v>
      </c>
      <c r="AL11" s="38" t="s">
        <v>195</v>
      </c>
      <c r="AM11" s="360">
        <f>$B$11*$B$19/$DP$45*$DP$37*31</f>
        <v>551.42019504876214</v>
      </c>
      <c r="AN11" s="357">
        <f>$B$20/$DP$45*DP37*31</f>
        <v>551.42019504876214</v>
      </c>
      <c r="AO11" s="10"/>
      <c r="AP11" s="56">
        <f t="shared" si="4"/>
        <v>12.522582742796516</v>
      </c>
      <c r="AQ11" s="10">
        <f t="shared" si="5"/>
        <v>7.7519999999999998</v>
      </c>
      <c r="AR11" s="10">
        <f>AQ11*31*BC12</f>
        <v>232.30159999999998</v>
      </c>
      <c r="AS11" s="10"/>
      <c r="AZ11" s="56">
        <f>L54*30</f>
        <v>387.78082191780823</v>
      </c>
      <c r="BA11" s="150">
        <f t="shared" si="6"/>
        <v>1</v>
      </c>
      <c r="BB11" s="56">
        <f>28/30</f>
        <v>0.93333333333333335</v>
      </c>
      <c r="BC11" s="150">
        <f t="shared" si="7"/>
        <v>0.93333333333333335</v>
      </c>
      <c r="BD11" s="199">
        <f>N54*30</f>
        <v>365.8675515733562</v>
      </c>
      <c r="BF11" s="199">
        <f>P54*30</f>
        <v>131.18727213257017</v>
      </c>
      <c r="BG11" s="199">
        <f>O54*30</f>
        <v>23.008933861674617</v>
      </c>
      <c r="BH11" s="369" t="s">
        <v>194</v>
      </c>
      <c r="BI11" s="198"/>
      <c r="BT11" s="43">
        <v>20</v>
      </c>
      <c r="BU11" s="43"/>
      <c r="BV11" s="42">
        <v>0.86</v>
      </c>
      <c r="BW11" s="42">
        <v>0.89</v>
      </c>
      <c r="BX11" s="42">
        <v>0.92</v>
      </c>
      <c r="BY11" s="42">
        <v>0.95</v>
      </c>
      <c r="BZ11" s="42">
        <v>0.96</v>
      </c>
      <c r="CA11" s="42">
        <v>0.97</v>
      </c>
      <c r="CB11" s="42">
        <v>0.98</v>
      </c>
      <c r="CC11" s="42">
        <v>0.97</v>
      </c>
      <c r="CD11" s="42">
        <v>0.96</v>
      </c>
      <c r="CE11" s="42">
        <v>0.95</v>
      </c>
      <c r="CF11" s="42">
        <v>0.92</v>
      </c>
      <c r="CG11" s="42">
        <v>0.89</v>
      </c>
      <c r="CH11" s="42">
        <v>0.86</v>
      </c>
      <c r="CK11" s="211"/>
      <c r="CL11" s="211"/>
      <c r="CM11" s="196"/>
      <c r="CN11" s="196"/>
      <c r="DT11" s="299" t="s">
        <v>269</v>
      </c>
      <c r="DU11" s="299" t="s">
        <v>270</v>
      </c>
      <c r="DV11" s="155" t="s">
        <v>271</v>
      </c>
      <c r="DW11" s="155"/>
      <c r="DX11" s="212" t="s">
        <v>253</v>
      </c>
      <c r="DY11" s="212" t="s">
        <v>254</v>
      </c>
      <c r="DZ11" s="213" t="s">
        <v>255</v>
      </c>
      <c r="EA11" s="213" t="s">
        <v>256</v>
      </c>
      <c r="EB11" s="155"/>
      <c r="EC11" s="214">
        <v>1800</v>
      </c>
      <c r="ED11" s="214">
        <v>2640</v>
      </c>
      <c r="EE11" s="214">
        <v>4440</v>
      </c>
      <c r="EF11" s="214"/>
      <c r="EI11" s="389">
        <f>'gamma celle'!C7</f>
        <v>1061.0549999999998</v>
      </c>
      <c r="EN11" s="377">
        <f>EN9/ER12</f>
        <v>2.0383561643835617</v>
      </c>
      <c r="EO11" s="377" t="s">
        <v>406</v>
      </c>
      <c r="ER11" s="375" t="s">
        <v>412</v>
      </c>
    </row>
    <row r="12" spans="1:178" ht="45" customHeight="1" thickBot="1">
      <c r="A12" s="25" t="s">
        <v>156</v>
      </c>
      <c r="B12" s="625">
        <v>0</v>
      </c>
      <c r="C12" s="854"/>
      <c r="D12" s="827"/>
      <c r="E12" s="171"/>
      <c r="F12" s="517"/>
      <c r="G12" s="493"/>
      <c r="H12" s="493"/>
      <c r="I12" s="493"/>
      <c r="J12" s="171"/>
      <c r="K12" s="493"/>
      <c r="L12" s="493"/>
      <c r="M12" s="171"/>
      <c r="N12" s="171"/>
      <c r="O12" s="493"/>
      <c r="P12" s="493"/>
      <c r="Q12" s="493"/>
      <c r="R12" s="493"/>
      <c r="T12" s="171"/>
      <c r="U12" s="171"/>
      <c r="V12" s="171"/>
      <c r="W12" s="171"/>
      <c r="Y12" s="171"/>
      <c r="Z12" s="171"/>
      <c r="AA12" s="10">
        <f>30/100</f>
        <v>0.3</v>
      </c>
      <c r="AB12" s="10">
        <f t="shared" si="0"/>
        <v>171.25091972993246</v>
      </c>
      <c r="AC12" s="10">
        <v>0.8939828848888054</v>
      </c>
      <c r="AD12" s="10">
        <f>AC12*Redditività!$B$9</f>
        <v>0.26819486546664162</v>
      </c>
      <c r="AE12" s="486">
        <f t="shared" si="1"/>
        <v>153.09539126002628</v>
      </c>
      <c r="AH12" s="357">
        <f t="shared" si="2"/>
        <v>153.09539126002628</v>
      </c>
      <c r="AI12" s="365">
        <f t="shared" si="3"/>
        <v>153.09539126002628</v>
      </c>
      <c r="AL12" s="38" t="s">
        <v>196</v>
      </c>
      <c r="AM12" s="360">
        <f>$B$11*$B$19/$DP$45*DP38*30</f>
        <v>570.83639909977489</v>
      </c>
      <c r="AN12" s="357">
        <f>$B$20/$DP$45*DP38*30</f>
        <v>570.83639909977489</v>
      </c>
      <c r="AO12" s="10"/>
      <c r="AP12" s="56">
        <f t="shared" si="4"/>
        <v>12.855179708667542</v>
      </c>
      <c r="AQ12" s="10">
        <f t="shared" si="5"/>
        <v>7.7519999999999998</v>
      </c>
      <c r="AR12" s="10">
        <f>AQ12*30*BC13</f>
        <v>232.56</v>
      </c>
      <c r="AS12" s="10"/>
      <c r="AZ12" s="56">
        <f>L55*31</f>
        <v>400.7068493150685</v>
      </c>
      <c r="BA12" s="150">
        <f t="shared" si="6"/>
        <v>1</v>
      </c>
      <c r="BB12" s="56">
        <f>29/30</f>
        <v>0.96666666666666667</v>
      </c>
      <c r="BC12" s="150">
        <f t="shared" si="7"/>
        <v>0.96666666666666667</v>
      </c>
      <c r="BD12" s="199">
        <f>N55*31</f>
        <v>388.20006502669196</v>
      </c>
      <c r="BF12" s="199">
        <f>P55*31</f>
        <v>163.22013002207018</v>
      </c>
      <c r="BG12" s="199">
        <f>O55*31</f>
        <v>12.506784288376505</v>
      </c>
      <c r="BH12" s="38" t="s">
        <v>195</v>
      </c>
      <c r="BI12" s="198"/>
      <c r="BK12" s="10" t="s">
        <v>296</v>
      </c>
      <c r="BL12" s="200">
        <f>DZ82</f>
        <v>13.880470433766579</v>
      </c>
      <c r="BT12" s="43">
        <v>25</v>
      </c>
      <c r="BU12" s="43"/>
      <c r="BV12" s="42">
        <v>0.82</v>
      </c>
      <c r="BW12" s="42">
        <v>0.88</v>
      </c>
      <c r="BX12" s="42">
        <v>0.91</v>
      </c>
      <c r="BY12" s="42">
        <v>0.95</v>
      </c>
      <c r="BZ12" s="42">
        <v>0.97</v>
      </c>
      <c r="CA12" s="42">
        <v>0.99</v>
      </c>
      <c r="CB12" s="42">
        <v>1</v>
      </c>
      <c r="CC12" s="42">
        <v>0.99</v>
      </c>
      <c r="CD12" s="42">
        <v>0.97</v>
      </c>
      <c r="CE12" s="42">
        <v>0.95</v>
      </c>
      <c r="CF12" s="42">
        <v>0</v>
      </c>
      <c r="CG12" s="42">
        <v>0.88</v>
      </c>
      <c r="CH12" s="42">
        <v>0.82</v>
      </c>
      <c r="CK12" s="211"/>
      <c r="CL12" s="211"/>
      <c r="CM12" s="41" t="s">
        <v>122</v>
      </c>
      <c r="CN12" s="196"/>
      <c r="DT12" s="300">
        <v>3971</v>
      </c>
      <c r="DU12" s="301"/>
      <c r="DV12" s="215">
        <f>IF(AND($B$31="0",$B$12=0),"xxxx",8/100*($BG$8+$BG$19))</f>
        <v>38.621672789060462</v>
      </c>
      <c r="DW12" s="216"/>
      <c r="DX12" s="217">
        <f>(DV12*DX19)/DV15</f>
        <v>24.460273972602742</v>
      </c>
      <c r="DY12" s="217">
        <f>(DV12*DY19)/DV15</f>
        <v>11.414794520547945</v>
      </c>
      <c r="DZ12" s="217">
        <f>(DV12*DZ19)/DV15</f>
        <v>2.7466042959097745</v>
      </c>
      <c r="EA12" s="217">
        <f>(DV12*EA19)/DV15</f>
        <v>0</v>
      </c>
      <c r="EB12" s="218"/>
      <c r="EC12" s="219">
        <f>IF($DU$16&gt;3,'calcolo bolletta SOLO CONSULTAZ'!$U$26,'calcolo bolletta SOLO CONSULTAZ'!$T$26)</f>
        <v>0.11321200000000001</v>
      </c>
      <c r="ED12" s="220">
        <f>IF($C$17&gt;3,'calcolo bolletta SOLO CONSULTAZ'!$U28,'calcolo bolletta SOLO CONSULTAZ'!$T28)</f>
        <v>0.16523199999999999</v>
      </c>
      <c r="EE12" s="220">
        <f>IF($C$17&gt;3,'calcolo bolletta SOLO CONSULTAZ'!$U$30,'calcolo bolletta SOLO CONSULTAZ'!$T$30)</f>
        <v>0.23802200000000001</v>
      </c>
      <c r="EF12" s="221">
        <f>IF($C$17&gt;3,'calcolo bolletta SOLO CONSULTAZ'!$U$32,'calcolo bolletta SOLO CONSULTAZ'!$T$32)</f>
        <v>0.23802200000000001</v>
      </c>
      <c r="EI12" s="389">
        <f>'gamma celle'!C8</f>
        <v>1131.7919999999999</v>
      </c>
      <c r="EN12" s="377">
        <f>EO9/EN11</f>
        <v>236.84325551087142</v>
      </c>
      <c r="EO12" s="377" t="s">
        <v>407</v>
      </c>
      <c r="ER12" s="375">
        <f>365/12</f>
        <v>30.416666666666668</v>
      </c>
    </row>
    <row r="13" spans="1:178" ht="45" customHeight="1" thickBot="1">
      <c r="A13" s="25" t="s">
        <v>153</v>
      </c>
      <c r="B13" s="626">
        <f>B11+B12</f>
        <v>4</v>
      </c>
      <c r="C13" s="816" t="str">
        <f>IF(B13&gt;6,FV13," ")</f>
        <v xml:space="preserve"> </v>
      </c>
      <c r="D13" s="817"/>
      <c r="E13" s="171"/>
      <c r="AA13" s="10">
        <f>30/100</f>
        <v>0.3</v>
      </c>
      <c r="AB13" s="10">
        <f t="shared" si="0"/>
        <v>182.90064216054012</v>
      </c>
      <c r="AC13" s="10">
        <v>0.8939828848888054</v>
      </c>
      <c r="AD13" s="10">
        <f>AC13*Redditività!$B$9</f>
        <v>0.26819486546664162</v>
      </c>
      <c r="AE13" s="486">
        <f t="shared" si="1"/>
        <v>163.51004372669473</v>
      </c>
      <c r="AH13" s="357">
        <f t="shared" si="2"/>
        <v>163.51004372669473</v>
      </c>
      <c r="AI13" s="365">
        <f t="shared" si="3"/>
        <v>163.51004372669473</v>
      </c>
      <c r="AL13" s="222" t="s">
        <v>197</v>
      </c>
      <c r="AM13" s="360">
        <f>$B$11*$B$19/$DP$45*DP39*31</f>
        <v>609.6688072018004</v>
      </c>
      <c r="AN13" s="357">
        <f>$B$20/$DP$45*DP39*31</f>
        <v>609.6688072018004</v>
      </c>
      <c r="AO13" s="10"/>
      <c r="AP13" s="56">
        <f t="shared" si="4"/>
        <v>13.026517539570797</v>
      </c>
      <c r="AQ13" s="10">
        <f t="shared" si="5"/>
        <v>7.7519999999999998</v>
      </c>
      <c r="AR13" s="10">
        <f>AQ13*31*BC14</f>
        <v>240.31199999999998</v>
      </c>
      <c r="AS13" s="10"/>
      <c r="AZ13" s="56">
        <f>L56*30</f>
        <v>387.78082191780823</v>
      </c>
      <c r="BA13" s="150">
        <f t="shared" si="6"/>
        <v>1</v>
      </c>
      <c r="BB13" s="10">
        <v>1</v>
      </c>
      <c r="BC13" s="150">
        <f t="shared" si="7"/>
        <v>1</v>
      </c>
      <c r="BD13" s="199">
        <f>N56*30</f>
        <v>385.65539126002625</v>
      </c>
      <c r="BF13" s="199">
        <f>P56*30</f>
        <v>185.18100783974864</v>
      </c>
      <c r="BG13" s="199">
        <f>O56*30</f>
        <v>2.1254306577819548</v>
      </c>
      <c r="BH13" s="38" t="s">
        <v>196</v>
      </c>
      <c r="BI13" s="198"/>
      <c r="BT13" s="43">
        <v>30</v>
      </c>
      <c r="BU13" s="43"/>
      <c r="BV13" s="42">
        <v>0.81</v>
      </c>
      <c r="BW13" s="42">
        <v>0.87</v>
      </c>
      <c r="BX13" s="42">
        <v>0.91</v>
      </c>
      <c r="BY13" s="42">
        <v>0.95</v>
      </c>
      <c r="BZ13" s="42">
        <v>0.97</v>
      </c>
      <c r="CA13" s="42">
        <v>0.99</v>
      </c>
      <c r="CB13" s="42">
        <v>1</v>
      </c>
      <c r="CC13" s="42">
        <v>0.99</v>
      </c>
      <c r="CD13" s="42">
        <v>0.97</v>
      </c>
      <c r="CE13" s="42">
        <v>0.95</v>
      </c>
      <c r="CF13" s="42">
        <v>0.91</v>
      </c>
      <c r="CG13" s="42">
        <v>0.87</v>
      </c>
      <c r="CH13" s="42">
        <v>0.81</v>
      </c>
      <c r="CK13" s="211"/>
      <c r="CL13" s="223">
        <f>DGET(BT6:CH20,CN13,CM12:CM13)</f>
        <v>1</v>
      </c>
      <c r="CM13" s="224">
        <f>B10</f>
        <v>30</v>
      </c>
      <c r="CN13" s="196" t="str">
        <f>B9</f>
        <v>  0°</v>
      </c>
      <c r="DT13" s="302">
        <v>5469</v>
      </c>
      <c r="DU13" s="303"/>
      <c r="DV13" s="215">
        <f>IF(AND($B$31="0",$B$12=0),"xxxx",27/100*($BG$8+$BG$19))</f>
        <v>130.34814566307907</v>
      </c>
      <c r="DW13" s="216"/>
      <c r="DX13" s="225">
        <f>(DV13*DX19)/DV15</f>
        <v>82.553424657534265</v>
      </c>
      <c r="DY13" s="225">
        <f>(DV13*DY19)/DV15</f>
        <v>38.524931506849313</v>
      </c>
      <c r="DZ13" s="225">
        <f>(DV13*DZ19)/DV15</f>
        <v>9.2697894986954879</v>
      </c>
      <c r="EA13" s="225">
        <f>(DV13*EA19)/DV15</f>
        <v>0</v>
      </c>
      <c r="EB13" s="218"/>
      <c r="EC13" s="226">
        <f>IF($DU$16&gt;3,'calcolo bolletta SOLO CONSULTAZ'!$U$27,'calcolo bolletta SOLO CONSULTAZ'!$T$27)</f>
        <v>0.106492</v>
      </c>
      <c r="ED13" s="227">
        <f>IF($C$17&gt;3,'calcolo bolletta SOLO CONSULTAZ'!$U29,'calcolo bolletta SOLO CONSULTAZ'!$T29)</f>
        <v>0.15851199999999999</v>
      </c>
      <c r="EE13" s="227">
        <f>IF($C$17&gt;3,'calcolo bolletta SOLO CONSULTAZ'!$U$31,'calcolo bolletta SOLO CONSULTAZ'!$T$31)</f>
        <v>0.23130200000000001</v>
      </c>
      <c r="EF13" s="228">
        <f>IF($C$17&gt;3,'calcolo bolletta SOLO CONSULTAZ'!$U$33,'calcolo bolletta SOLO CONSULTAZ'!$T$33)</f>
        <v>0.23130200000000001</v>
      </c>
      <c r="EI13" s="389">
        <f>'gamma celle'!C9</f>
        <v>1414.74</v>
      </c>
      <c r="EN13" s="377">
        <f>IF(EN12&gt;370,0,IF(EN12&gt;220,150-(EN12-220),150))</f>
        <v>133.15674448912858</v>
      </c>
      <c r="EO13" s="377" t="s">
        <v>408</v>
      </c>
      <c r="FV13" s="610" t="s">
        <v>466</v>
      </c>
    </row>
    <row r="14" spans="1:178" ht="45" customHeight="1" thickBot="1">
      <c r="A14" s="25" t="s">
        <v>107</v>
      </c>
      <c r="B14" s="627">
        <f>DGET($CK$16:$CO$118,CO16,B$7:B$8)</f>
        <v>1390</v>
      </c>
      <c r="C14" s="876" t="s">
        <v>127</v>
      </c>
      <c r="D14" s="877"/>
      <c r="F14" s="518"/>
      <c r="G14" s="292"/>
      <c r="H14" s="292"/>
      <c r="I14" s="292"/>
      <c r="J14" s="459"/>
      <c r="K14" s="292"/>
      <c r="L14" s="292"/>
      <c r="M14" s="593"/>
      <c r="N14" s="593"/>
      <c r="O14" s="292"/>
      <c r="P14" s="292"/>
      <c r="Q14" s="292"/>
      <c r="R14" s="292"/>
      <c r="T14" s="487"/>
      <c r="U14" s="528"/>
      <c r="V14" s="528"/>
      <c r="W14" s="528"/>
      <c r="Y14" s="459"/>
      <c r="AA14" s="10">
        <f>30/100</f>
        <v>0.3</v>
      </c>
      <c r="AB14" s="10">
        <f t="shared" si="0"/>
        <v>174.74583645911477</v>
      </c>
      <c r="AC14" s="10">
        <v>0.8939828848888054</v>
      </c>
      <c r="AD14" s="10">
        <f>AC14*Redditività!$B$9</f>
        <v>0.26819486546664162</v>
      </c>
      <c r="AE14" s="486">
        <f t="shared" si="1"/>
        <v>156.2197870000268</v>
      </c>
      <c r="AH14" s="357">
        <f t="shared" si="2"/>
        <v>156.2197870000268</v>
      </c>
      <c r="AI14" s="365">
        <f t="shared" si="3"/>
        <v>156.2197870000268</v>
      </c>
      <c r="AL14" s="222" t="s">
        <v>198</v>
      </c>
      <c r="AM14" s="360">
        <f>$B$11*$B$19/$DP$45*DP40*31</f>
        <v>582.48612153038255</v>
      </c>
      <c r="AN14" s="357">
        <f>$B$20/$DP$45*DP40*31</f>
        <v>582.48612153038255</v>
      </c>
      <c r="AO14" s="10"/>
      <c r="AP14" s="56">
        <f t="shared" si="4"/>
        <v>12.7913479677428</v>
      </c>
      <c r="AQ14" s="10">
        <f t="shared" si="5"/>
        <v>7.7519999999999998</v>
      </c>
      <c r="AR14" s="10">
        <f>AQ14*31*BC15</f>
        <v>232.30159999999998</v>
      </c>
      <c r="AS14" s="10"/>
      <c r="AZ14" s="56">
        <f>L57*31</f>
        <v>400.7068493150685</v>
      </c>
      <c r="BA14" s="150">
        <f t="shared" si="6"/>
        <v>1</v>
      </c>
      <c r="BB14" s="10">
        <v>1</v>
      </c>
      <c r="BC14" s="150">
        <f t="shared" si="7"/>
        <v>1</v>
      </c>
      <c r="BD14" s="199">
        <f>N57*31</f>
        <v>403.82204372669469</v>
      </c>
      <c r="BF14" s="199">
        <f>P57*31</f>
        <v>205.84676347510566</v>
      </c>
      <c r="BG14" s="199">
        <f>O57*31</f>
        <v>0</v>
      </c>
      <c r="BH14" s="222" t="s">
        <v>197</v>
      </c>
      <c r="BI14" s="198"/>
      <c r="BK14" s="10" t="s">
        <v>297</v>
      </c>
      <c r="BL14" s="200">
        <f>DZ100</f>
        <v>15.321049926569303</v>
      </c>
      <c r="BT14" s="43">
        <v>35</v>
      </c>
      <c r="BU14" s="43"/>
      <c r="BV14" s="42">
        <v>0.81</v>
      </c>
      <c r="BW14" s="42">
        <v>0.86</v>
      </c>
      <c r="BX14" s="42">
        <v>0.9</v>
      </c>
      <c r="BY14" s="42">
        <v>0.95</v>
      </c>
      <c r="BZ14" s="42">
        <v>0.97</v>
      </c>
      <c r="CA14" s="42">
        <v>0.99</v>
      </c>
      <c r="CB14" s="42">
        <v>1</v>
      </c>
      <c r="CC14" s="42">
        <v>0.99</v>
      </c>
      <c r="CD14" s="42">
        <v>0.97</v>
      </c>
      <c r="CE14" s="42">
        <v>0.95</v>
      </c>
      <c r="CF14" s="42">
        <v>0.9</v>
      </c>
      <c r="CG14" s="42">
        <v>0.86</v>
      </c>
      <c r="CH14" s="42">
        <v>0.81</v>
      </c>
      <c r="CK14" s="211"/>
      <c r="CL14" s="211"/>
      <c r="CM14" s="196"/>
      <c r="CN14" s="196"/>
      <c r="DT14" s="304">
        <v>7624</v>
      </c>
      <c r="DU14" s="305"/>
      <c r="DV14" s="215">
        <f>IF(AND($B$31="0",$B$12=0),"xxxx",65/100*($BG$8+$BG$19))</f>
        <v>313.8010914111162</v>
      </c>
      <c r="DW14" s="216"/>
      <c r="DX14" s="225">
        <f>(DV14*DX19)/DV15</f>
        <v>198.73972602739724</v>
      </c>
      <c r="DY14" s="225">
        <f>(DV14*DY19)/DV15</f>
        <v>92.745205479452039</v>
      </c>
      <c r="DZ14" s="225">
        <f>(DV14*DZ19)/DV15</f>
        <v>22.316159904266911</v>
      </c>
      <c r="EA14" s="225">
        <f>(DV14*EA19)/DV15</f>
        <v>0</v>
      </c>
      <c r="EB14" s="218"/>
      <c r="EC14" s="229">
        <f>EC13</f>
        <v>0.106492</v>
      </c>
      <c r="ED14" s="230">
        <f>ED13</f>
        <v>0.15851199999999999</v>
      </c>
      <c r="EE14" s="230">
        <f>EE13</f>
        <v>0.23130200000000001</v>
      </c>
      <c r="EF14" s="231">
        <f>EF13</f>
        <v>0.23130200000000001</v>
      </c>
      <c r="EI14" s="389">
        <f>'gamma celle'!C10</f>
        <v>1839.1619999999998</v>
      </c>
      <c r="EN14" s="377">
        <f>IF(EN12&gt;EN13,EN12-EN13,0)</f>
        <v>103.68651102174283</v>
      </c>
      <c r="EO14" s="377" t="s">
        <v>409</v>
      </c>
    </row>
    <row r="15" spans="1:178" ht="45" customHeight="1" thickBot="1">
      <c r="A15" s="36" t="s">
        <v>103</v>
      </c>
      <c r="B15" s="621">
        <v>0.05</v>
      </c>
      <c r="C15" s="875" t="s">
        <v>132</v>
      </c>
      <c r="D15" s="870"/>
      <c r="E15" s="459"/>
      <c r="F15" s="518"/>
      <c r="G15" s="292"/>
      <c r="H15" s="292"/>
      <c r="I15" s="292"/>
      <c r="J15" s="459"/>
      <c r="K15" s="292"/>
      <c r="L15" s="292"/>
      <c r="M15" s="593"/>
      <c r="N15" s="593"/>
      <c r="O15" s="292"/>
      <c r="P15" s="292"/>
      <c r="Q15" s="292"/>
      <c r="R15" s="292"/>
      <c r="T15" s="487"/>
      <c r="U15" s="528"/>
      <c r="V15" s="528"/>
      <c r="W15" s="528"/>
      <c r="Y15" s="459"/>
      <c r="AA15" s="10">
        <f>33/100</f>
        <v>0.33</v>
      </c>
      <c r="AB15" s="10">
        <f t="shared" si="0"/>
        <v>162.74662235558887</v>
      </c>
      <c r="AC15" s="10">
        <v>0.98338117337768605</v>
      </c>
      <c r="AD15" s="10">
        <f>AC15*Redditività!$B$9</f>
        <v>0.29501435201330578</v>
      </c>
      <c r="AE15" s="486">
        <f t="shared" si="1"/>
        <v>145.49269495935829</v>
      </c>
      <c r="AH15" s="357">
        <f t="shared" si="2"/>
        <v>145.49269495935829</v>
      </c>
      <c r="AI15" s="365">
        <f t="shared" si="3"/>
        <v>145.49269495935829</v>
      </c>
      <c r="AL15" s="222" t="s">
        <v>199</v>
      </c>
      <c r="AM15" s="360">
        <f>$B$11*$B$19/$DP$45*DP41*30</f>
        <v>493.17158289572382</v>
      </c>
      <c r="AN15" s="357">
        <f>$B$20/$DP$45*DP41*30</f>
        <v>493.17158289572382</v>
      </c>
      <c r="AO15" s="10"/>
      <c r="AP15" s="56">
        <f t="shared" si="4"/>
        <v>12.601756498645276</v>
      </c>
      <c r="AQ15" s="10">
        <f t="shared" si="5"/>
        <v>7.7519999999999998</v>
      </c>
      <c r="AR15" s="10">
        <f>AQ15*30*BC16</f>
        <v>217.05600000000001</v>
      </c>
      <c r="AS15" s="10"/>
      <c r="AZ15" s="56">
        <f>L58*31</f>
        <v>400.7068493150685</v>
      </c>
      <c r="BA15" s="150">
        <f t="shared" si="6"/>
        <v>1</v>
      </c>
      <c r="BB15" s="56">
        <f>29/30</f>
        <v>0.96666666666666667</v>
      </c>
      <c r="BC15" s="150">
        <f>BB15*BA15</f>
        <v>0.96666666666666667</v>
      </c>
      <c r="BD15" s="199">
        <f>N58*31</f>
        <v>396.53178700002678</v>
      </c>
      <c r="BF15" s="199">
        <f>P58*31</f>
        <v>185.95433453035574</v>
      </c>
      <c r="BG15" s="199">
        <f>O58*31</f>
        <v>4.1750623150417017</v>
      </c>
      <c r="BH15" s="222" t="s">
        <v>198</v>
      </c>
      <c r="BI15" s="198"/>
      <c r="BT15" s="43">
        <v>40</v>
      </c>
      <c r="BU15" s="43"/>
      <c r="BV15" s="42">
        <v>0.79</v>
      </c>
      <c r="BW15" s="42">
        <v>0.85</v>
      </c>
      <c r="BX15" s="42">
        <v>0.89</v>
      </c>
      <c r="BY15" s="42">
        <v>0.94</v>
      </c>
      <c r="BZ15" s="42">
        <v>0.96</v>
      </c>
      <c r="CA15" s="42">
        <v>0.98</v>
      </c>
      <c r="CB15" s="42">
        <v>0.99</v>
      </c>
      <c r="CC15" s="42">
        <v>0.98</v>
      </c>
      <c r="CD15" s="42">
        <v>0.96</v>
      </c>
      <c r="CE15" s="42">
        <v>0.94</v>
      </c>
      <c r="CF15" s="42">
        <v>0.89</v>
      </c>
      <c r="CG15" s="42">
        <v>0.85</v>
      </c>
      <c r="CH15" s="42">
        <v>0.79</v>
      </c>
      <c r="CK15" s="211"/>
      <c r="CL15" s="196"/>
      <c r="CM15" s="196"/>
      <c r="DT15" s="306">
        <f>SUM(DT12:DT14)</f>
        <v>17064</v>
      </c>
      <c r="DU15" s="306">
        <f>SUM(DU12:DU14)</f>
        <v>0</v>
      </c>
      <c r="DV15" s="156">
        <f>IF(SUM(DV12:DV14)=0,0.001,SUM(DV12:DV14))</f>
        <v>482.77090986325572</v>
      </c>
      <c r="DW15" s="155"/>
      <c r="DX15" s="233">
        <f>EC11*EA10</f>
        <v>305.75342465753425</v>
      </c>
      <c r="DY15" s="233">
        <f>ED11*EA10</f>
        <v>448.43835616438355</v>
      </c>
      <c r="DZ15" s="233">
        <f>EE11*EA10</f>
        <v>754.19178082191775</v>
      </c>
      <c r="EA15" s="233"/>
      <c r="EB15" s="234"/>
      <c r="EC15" s="235"/>
      <c r="ED15" s="236"/>
      <c r="EE15" s="236"/>
      <c r="EF15" s="237"/>
      <c r="EI15" s="389">
        <f>'gamma celle'!C11</f>
        <v>2122.1099999999997</v>
      </c>
    </row>
    <row r="16" spans="1:178" ht="45" customHeight="1" thickBot="1">
      <c r="A16" s="36" t="s">
        <v>104</v>
      </c>
      <c r="B16" s="621">
        <v>0.02</v>
      </c>
      <c r="C16" s="826" t="s">
        <v>106</v>
      </c>
      <c r="D16" s="827"/>
      <c r="E16" s="459"/>
      <c r="AA16" s="10">
        <f>35/100</f>
        <v>0.35</v>
      </c>
      <c r="AB16" s="10">
        <f t="shared" si="0"/>
        <v>133.19515978994747</v>
      </c>
      <c r="AC16" s="10">
        <v>1.0429800323702731</v>
      </c>
      <c r="AD16" s="10">
        <f>AC16*Redditività!$B$9</f>
        <v>0.31289400971108194</v>
      </c>
      <c r="AE16" s="486">
        <f t="shared" si="1"/>
        <v>119.07419320224267</v>
      </c>
      <c r="AH16" s="357">
        <f t="shared" si="2"/>
        <v>119.07419320224267</v>
      </c>
      <c r="AI16" s="365">
        <f t="shared" si="3"/>
        <v>119.07419320224267</v>
      </c>
      <c r="AL16" s="222" t="s">
        <v>200</v>
      </c>
      <c r="AM16" s="360">
        <f>$B$11*$B$19/$DP$45*DP42*31</f>
        <v>380.55759939984989</v>
      </c>
      <c r="AN16" s="357">
        <f>$B$20/$DP$45*DP42*31</f>
        <v>380.55759939984989</v>
      </c>
      <c r="AO16" s="10"/>
      <c r="AP16" s="56">
        <f t="shared" si="4"/>
        <v>11.593103006523958</v>
      </c>
      <c r="AQ16" s="10">
        <f t="shared" si="5"/>
        <v>7.7519999999999998</v>
      </c>
      <c r="AR16" s="10">
        <f>AQ16*31*BC17</f>
        <v>216.2808</v>
      </c>
      <c r="AS16" s="10"/>
      <c r="AZ16" s="56">
        <f>L59*30</f>
        <v>387.78082191780823</v>
      </c>
      <c r="BA16" s="150">
        <f t="shared" si="6"/>
        <v>1</v>
      </c>
      <c r="BB16" s="56">
        <f>28/30</f>
        <v>0.93333333333333335</v>
      </c>
      <c r="BC16" s="150">
        <f t="shared" si="7"/>
        <v>0.93333333333333335</v>
      </c>
      <c r="BD16" s="199">
        <f>N59*30</f>
        <v>378.05269495935829</v>
      </c>
      <c r="BF16" s="199">
        <f>P59*30</f>
        <v>115.11888793636555</v>
      </c>
      <c r="BG16" s="199">
        <f>O59*30</f>
        <v>10.214533306372431</v>
      </c>
      <c r="BH16" s="222" t="s">
        <v>199</v>
      </c>
      <c r="BI16" s="198"/>
      <c r="BK16" s="10" t="s">
        <v>298</v>
      </c>
      <c r="BL16" s="200">
        <f>DZ117</f>
        <v>41.406904793001551</v>
      </c>
      <c r="BT16" s="43">
        <v>50</v>
      </c>
      <c r="BU16" s="43"/>
      <c r="BV16" s="42">
        <v>0.75</v>
      </c>
      <c r="BW16" s="42">
        <v>0.81</v>
      </c>
      <c r="BX16" s="42">
        <v>0.86</v>
      </c>
      <c r="BY16" s="42">
        <v>0.9</v>
      </c>
      <c r="BZ16" s="42">
        <v>0.93</v>
      </c>
      <c r="CA16" s="42">
        <v>0.96</v>
      </c>
      <c r="CB16" s="42">
        <v>0.96</v>
      </c>
      <c r="CC16" s="42">
        <v>0.96</v>
      </c>
      <c r="CD16" s="42">
        <v>0.93</v>
      </c>
      <c r="CE16" s="42">
        <v>0.9</v>
      </c>
      <c r="CF16" s="42">
        <v>0.86</v>
      </c>
      <c r="CG16" s="42">
        <v>0.81</v>
      </c>
      <c r="CH16" s="42">
        <v>0.75</v>
      </c>
      <c r="CK16" s="33" t="s">
        <v>21</v>
      </c>
      <c r="CL16" s="33" t="s">
        <v>22</v>
      </c>
      <c r="CM16" s="34" t="s">
        <v>102</v>
      </c>
      <c r="CN16" s="35" t="s">
        <v>23</v>
      </c>
      <c r="CO16" s="37" t="s">
        <v>109</v>
      </c>
      <c r="CU16" s="211"/>
      <c r="DS16" s="10">
        <f>'FOGLIO RACCOLTA DATI DI CONSUMO'!B14</f>
        <v>6</v>
      </c>
      <c r="DT16" s="307" t="s">
        <v>273</v>
      </c>
      <c r="DU16" s="308">
        <f>IF($B$31="0",'FOGLIO RACCOLTA DATI DI CONSUMO'!$B$14,IF($BG$20&lt;3000,3,'FOGLIO RACCOLTA DATI DI CONSUMO'!$B$14))</f>
        <v>3</v>
      </c>
      <c r="DV16" s="238"/>
      <c r="DW16" s="216"/>
      <c r="DX16" s="239">
        <f>DX12*EC12</f>
        <v>2.7691965369863016</v>
      </c>
      <c r="DY16" s="240">
        <f>DY12*ED12</f>
        <v>1.886089328219178</v>
      </c>
      <c r="DZ16" s="240">
        <f>DZ12*EE12</f>
        <v>0.65375224772103635</v>
      </c>
      <c r="EA16" s="241">
        <f>EA12*EF12</f>
        <v>0</v>
      </c>
      <c r="EB16" s="242">
        <f>SUM(DX16:EA16)</f>
        <v>5.3090381129265163</v>
      </c>
      <c r="EC16" s="243"/>
      <c r="ED16" s="243"/>
      <c r="EE16" s="243"/>
      <c r="EF16" s="244"/>
      <c r="EI16" s="389">
        <f>'gamma celle'!C12</f>
        <v>2263.5839999999998</v>
      </c>
      <c r="EM16" s="386" t="s">
        <v>410</v>
      </c>
      <c r="EN16" s="387"/>
      <c r="EO16" s="387"/>
      <c r="EP16" s="387"/>
    </row>
    <row r="17" spans="1:150" ht="45" customHeight="1" thickBot="1">
      <c r="A17" s="45" t="s">
        <v>123</v>
      </c>
      <c r="B17" s="622">
        <f>1-CL13</f>
        <v>0</v>
      </c>
      <c r="C17" s="828"/>
      <c r="D17" s="827"/>
      <c r="F17" s="517"/>
      <c r="G17" s="493"/>
      <c r="H17" s="493"/>
      <c r="I17" s="493"/>
      <c r="J17" s="171"/>
      <c r="K17" s="493"/>
      <c r="L17" s="493"/>
      <c r="M17" s="171"/>
      <c r="N17" s="171"/>
      <c r="O17" s="493"/>
      <c r="P17" s="493"/>
      <c r="Q17" s="493"/>
      <c r="R17" s="493"/>
      <c r="T17" s="171"/>
      <c r="U17" s="171"/>
      <c r="V17" s="171"/>
      <c r="W17" s="171"/>
      <c r="Y17" s="171"/>
      <c r="AA17" s="10">
        <f>40/100</f>
        <v>0.4</v>
      </c>
      <c r="AB17" s="10">
        <f t="shared" si="0"/>
        <v>102.51755738934733</v>
      </c>
      <c r="AC17" s="10">
        <v>1.1919771798517407</v>
      </c>
      <c r="AD17" s="10">
        <f>AC17*Redditività!$B$9</f>
        <v>0.35759315395552221</v>
      </c>
      <c r="AE17" s="486">
        <f t="shared" si="1"/>
        <v>91.648941706682407</v>
      </c>
      <c r="AH17" s="357">
        <f t="shared" si="2"/>
        <v>91.648941706682407</v>
      </c>
      <c r="AI17" s="365">
        <f t="shared" si="3"/>
        <v>91.648941706682407</v>
      </c>
      <c r="AL17" s="222" t="s">
        <v>201</v>
      </c>
      <c r="AM17" s="360">
        <f>$B$11*$B$19/$DP$45*DP43*30</f>
        <v>256.29389347336831</v>
      </c>
      <c r="AN17" s="357">
        <f>$B$20/$DP$45*DP43*30</f>
        <v>256.29389347336831</v>
      </c>
      <c r="AO17" s="10"/>
      <c r="AP17" s="56">
        <f t="shared" si="4"/>
        <v>10.80696472355608</v>
      </c>
      <c r="AQ17" s="10">
        <f t="shared" si="5"/>
        <v>7.7519999999999998</v>
      </c>
      <c r="AR17" s="10">
        <f>AQ17*30*BC18</f>
        <v>190.69919999999999</v>
      </c>
      <c r="AS17" s="10"/>
      <c r="AZ17" s="56">
        <f>L60*31</f>
        <v>400.7068493150685</v>
      </c>
      <c r="BA17" s="150">
        <f t="shared" si="6"/>
        <v>1</v>
      </c>
      <c r="BB17" s="56">
        <f>27/30</f>
        <v>0.9</v>
      </c>
      <c r="BC17" s="150">
        <f t="shared" si="7"/>
        <v>0.9</v>
      </c>
      <c r="BD17" s="199">
        <f>N60*31</f>
        <v>354.4092587800892</v>
      </c>
      <c r="BF17" s="199">
        <f>P60*31</f>
        <v>26.148340619760731</v>
      </c>
      <c r="BG17" s="199">
        <f>O60*31</f>
        <v>50.927349588477242</v>
      </c>
      <c r="BH17" s="222" t="s">
        <v>200</v>
      </c>
      <c r="BI17" s="198"/>
      <c r="BT17" s="43">
        <v>60</v>
      </c>
      <c r="BU17" s="43"/>
      <c r="BV17" s="42">
        <v>0.7</v>
      </c>
      <c r="BW17" s="42">
        <v>0.76</v>
      </c>
      <c r="BX17" s="42">
        <v>0.81</v>
      </c>
      <c r="BY17" s="42">
        <v>0.85</v>
      </c>
      <c r="BZ17" s="42">
        <v>0.88</v>
      </c>
      <c r="CA17" s="42">
        <v>0.9</v>
      </c>
      <c r="CB17" s="42">
        <v>0.91</v>
      </c>
      <c r="CC17" s="42">
        <v>0.9</v>
      </c>
      <c r="CD17" s="42">
        <v>0.88</v>
      </c>
      <c r="CE17" s="42">
        <v>0.85</v>
      </c>
      <c r="CF17" s="42">
        <v>0.81</v>
      </c>
      <c r="CG17" s="42">
        <v>0.76</v>
      </c>
      <c r="CH17" s="42">
        <v>0.7</v>
      </c>
      <c r="CJ17" s="176">
        <v>1</v>
      </c>
      <c r="CK17" s="245">
        <v>5</v>
      </c>
      <c r="CL17" s="245" t="s">
        <v>24</v>
      </c>
      <c r="CM17" s="195">
        <v>1714.7</v>
      </c>
      <c r="CN17" s="246">
        <v>1449.7</v>
      </c>
      <c r="CO17" s="10">
        <v>1600</v>
      </c>
      <c r="CR17" s="9"/>
      <c r="CS17" s="247">
        <v>0</v>
      </c>
      <c r="DR17" s="562"/>
      <c r="DT17" s="309"/>
      <c r="DU17" s="309"/>
      <c r="DV17" s="155"/>
      <c r="DW17" s="216"/>
      <c r="DX17" s="249">
        <f t="shared" ref="DX17:EA18" si="8">DX13*EC13</f>
        <v>8.7912792986301387</v>
      </c>
      <c r="DY17" s="250">
        <f t="shared" si="8"/>
        <v>6.1066639430136975</v>
      </c>
      <c r="DZ17" s="250">
        <f t="shared" si="8"/>
        <v>2.1441208506272638</v>
      </c>
      <c r="EA17" s="251">
        <f t="shared" si="8"/>
        <v>0</v>
      </c>
      <c r="EB17" s="242">
        <f>SUM(DX17:EA17)</f>
        <v>17.042064092271101</v>
      </c>
      <c r="EC17" s="252" t="s">
        <v>274</v>
      </c>
      <c r="ED17" s="252"/>
      <c r="EE17" s="253" t="s">
        <v>275</v>
      </c>
      <c r="EF17" s="254">
        <f>IF($DU$16&gt;3,'calcolo bolletta SOLO CONSULTAZ'!U24,'calcolo bolletta SOLO CONSULTAZ'!T24)</f>
        <v>42.784799999999997</v>
      </c>
      <c r="EI17" s="389">
        <f>'gamma celle'!C13</f>
        <v>2829.48</v>
      </c>
      <c r="EN17" s="388">
        <f>EN14*EN11</f>
        <v>211.35003890459362</v>
      </c>
      <c r="EO17" s="388"/>
      <c r="EP17" s="383"/>
    </row>
    <row r="18" spans="1:150" ht="45" customHeight="1" thickBot="1">
      <c r="A18" s="45" t="s">
        <v>133</v>
      </c>
      <c r="B18" s="622">
        <f>(1-B15)*(1-B16)*(1-B17)</f>
        <v>0.93099999999999994</v>
      </c>
      <c r="C18" s="828"/>
      <c r="D18" s="827"/>
      <c r="E18" s="171"/>
      <c r="F18" s="517"/>
      <c r="G18" s="493"/>
      <c r="H18" s="493"/>
      <c r="I18" s="493"/>
      <c r="J18" s="171"/>
      <c r="K18" s="493"/>
      <c r="L18" s="493"/>
      <c r="M18" s="171"/>
      <c r="N18" s="171"/>
      <c r="O18" s="493"/>
      <c r="P18" s="493"/>
      <c r="Q18" s="493"/>
      <c r="R18" s="493"/>
      <c r="T18" s="171"/>
      <c r="U18" s="171"/>
      <c r="V18" s="171"/>
      <c r="W18" s="171"/>
      <c r="Y18" s="171"/>
      <c r="AA18" s="10">
        <f>47/100</f>
        <v>0.47</v>
      </c>
      <c r="AB18" s="10">
        <f t="shared" si="0"/>
        <v>106.76970607651911</v>
      </c>
      <c r="AC18" s="10">
        <v>1.4005731863257951</v>
      </c>
      <c r="AD18" s="10">
        <f>AC18*Redditività!$B$9</f>
        <v>0.42017195589773854</v>
      </c>
      <c r="AE18" s="486">
        <f t="shared" si="1"/>
        <v>95.450289857016372</v>
      </c>
      <c r="AH18" s="357">
        <f t="shared" si="2"/>
        <v>95.450289857016372</v>
      </c>
      <c r="AI18" s="365">
        <f t="shared" si="3"/>
        <v>95.450289857016372</v>
      </c>
      <c r="AL18" s="222" t="s">
        <v>202</v>
      </c>
      <c r="AM18" s="360">
        <f>$B$11*$B$19/$DP$45*DP44*31</f>
        <v>227.16958739684918</v>
      </c>
      <c r="AN18" s="357">
        <f>$B$20/$DP$45*DP44*31</f>
        <v>227.16958739684918</v>
      </c>
      <c r="AO18" s="10"/>
      <c r="AP18" s="56">
        <f t="shared" si="4"/>
        <v>10.407092814640825</v>
      </c>
      <c r="AQ18" s="10">
        <f t="shared" si="5"/>
        <v>7.3280512063499739</v>
      </c>
      <c r="AR18" s="10">
        <f>AQ18*31*BC19</f>
        <v>170.37719054763687</v>
      </c>
      <c r="AS18" s="10"/>
      <c r="AZ18" s="56">
        <f>L61*30</f>
        <v>387.78082191780823</v>
      </c>
      <c r="BA18" s="150">
        <f t="shared" si="6"/>
        <v>1</v>
      </c>
      <c r="BB18" s="56">
        <v>0.82</v>
      </c>
      <c r="BC18" s="150">
        <f t="shared" si="7"/>
        <v>0.82</v>
      </c>
      <c r="BD18" s="199">
        <f>N61*30</f>
        <v>226.65780215536486</v>
      </c>
      <c r="BF18" s="199">
        <f>P61*30</f>
        <v>29.636091318003466</v>
      </c>
      <c r="BG18" s="199">
        <f>O61*30</f>
        <v>185.29147272680984</v>
      </c>
      <c r="BH18" s="222" t="s">
        <v>201</v>
      </c>
      <c r="BI18" s="198"/>
      <c r="BK18" s="10" t="s">
        <v>293</v>
      </c>
      <c r="BL18" s="200">
        <f>DZ23</f>
        <v>88.624714076063597</v>
      </c>
      <c r="BM18" s="56"/>
      <c r="BT18" s="43">
        <v>70</v>
      </c>
      <c r="BU18" s="43"/>
      <c r="BV18" s="42">
        <v>0.65</v>
      </c>
      <c r="BW18" s="42">
        <v>0.71</v>
      </c>
      <c r="BX18" s="42">
        <v>0.75</v>
      </c>
      <c r="BY18" s="42">
        <v>0.79</v>
      </c>
      <c r="BZ18" s="42">
        <v>0.81</v>
      </c>
      <c r="CA18" s="42">
        <v>0.83</v>
      </c>
      <c r="CB18" s="42">
        <v>0.84</v>
      </c>
      <c r="CC18" s="42">
        <v>0.83</v>
      </c>
      <c r="CD18" s="42">
        <v>0.81</v>
      </c>
      <c r="CE18" s="42">
        <v>0.79</v>
      </c>
      <c r="CF18" s="42">
        <v>0.75</v>
      </c>
      <c r="CG18" s="42">
        <v>0.71</v>
      </c>
      <c r="CH18" s="42">
        <v>0.65</v>
      </c>
      <c r="CI18" s="193"/>
      <c r="CJ18" s="56">
        <f t="shared" ref="CJ18:CJ42" si="9">CJ17+1</f>
        <v>2</v>
      </c>
      <c r="CK18" s="245">
        <v>1</v>
      </c>
      <c r="CL18" s="245" t="s">
        <v>25</v>
      </c>
      <c r="CM18" s="195">
        <v>1149.5</v>
      </c>
      <c r="CN18" s="246">
        <v>1263.2</v>
      </c>
      <c r="CO18" s="10">
        <v>1280</v>
      </c>
      <c r="CR18" s="9"/>
      <c r="CS18" s="247">
        <v>5.0000000000000001E-3</v>
      </c>
      <c r="CX18" s="56"/>
      <c r="CY18" s="6"/>
      <c r="CZ18" s="6" t="s">
        <v>143</v>
      </c>
      <c r="DA18" s="186"/>
      <c r="DB18" s="193"/>
      <c r="DT18" s="310" t="s">
        <v>274</v>
      </c>
      <c r="DU18" s="311">
        <f>IF(AND($B$31="0",$B$12=0),"xxxx",EF17*EA10)</f>
        <v>7.2675550684931496</v>
      </c>
      <c r="DV18" s="155"/>
      <c r="DW18" s="216"/>
      <c r="DX18" s="256">
        <f t="shared" si="8"/>
        <v>21.164190904109589</v>
      </c>
      <c r="DY18" s="257">
        <f t="shared" si="8"/>
        <v>14.7012280109589</v>
      </c>
      <c r="DZ18" s="257">
        <f t="shared" si="8"/>
        <v>5.1617724181767448</v>
      </c>
      <c r="EA18" s="258">
        <f t="shared" si="8"/>
        <v>0</v>
      </c>
      <c r="EB18" s="242">
        <f>SUM(DX18:EA18)</f>
        <v>41.027191333245234</v>
      </c>
      <c r="EC18" s="830" t="s">
        <v>276</v>
      </c>
      <c r="ED18" s="830"/>
      <c r="EE18" s="253" t="s">
        <v>277</v>
      </c>
      <c r="EF18" s="254">
        <f>IF($DU$16&gt;3,'calcolo bolletta SOLO CONSULTAZ'!$U$17*12,'calcolo bolletta SOLO CONSULTAZ'!T17*12)</f>
        <v>10.055999999999999</v>
      </c>
      <c r="EG18" s="381"/>
      <c r="EI18" s="389">
        <f>'gamma celle'!C14</f>
        <v>3678.3239999999996</v>
      </c>
    </row>
    <row r="19" spans="1:150" ht="45" customHeight="1" thickBot="1">
      <c r="A19" s="36" t="s">
        <v>108</v>
      </c>
      <c r="B19" s="623">
        <f>B14*(1-B15)*(1-B16)*(1-B17)</f>
        <v>1294.0899999999999</v>
      </c>
      <c r="C19" s="869" t="s">
        <v>105</v>
      </c>
      <c r="D19" s="870"/>
      <c r="E19" s="171"/>
      <c r="AB19" s="10">
        <f>SUM(AB7:AB18)</f>
        <v>1737.0668121830454</v>
      </c>
      <c r="AD19" s="150">
        <f>AE19/B20</f>
        <v>0.29999999999999993</v>
      </c>
      <c r="AE19" s="10">
        <f>SUM(AE7:AE18)</f>
        <v>1552.9079999999997</v>
      </c>
      <c r="AH19" s="357">
        <f>SUM(AH7:AH18)</f>
        <v>1552.9079999999997</v>
      </c>
      <c r="AI19" s="365">
        <f>SUM(AI7:AI18)</f>
        <v>1552.9079999999997</v>
      </c>
      <c r="AL19" s="10"/>
      <c r="AM19" s="10"/>
      <c r="AN19" s="357"/>
      <c r="AO19" s="10"/>
      <c r="AP19" s="10"/>
      <c r="AQ19" s="10">
        <f>AR19+AE19</f>
        <v>4064.3172790397593</v>
      </c>
      <c r="AR19" s="10">
        <f>SUM(AR7:AR18)</f>
        <v>2511.4092790397599</v>
      </c>
      <c r="AS19" s="10"/>
      <c r="AZ19" s="56">
        <f>L62*31</f>
        <v>400.7068493150685</v>
      </c>
      <c r="BA19" s="150">
        <f t="shared" si="6"/>
        <v>1</v>
      </c>
      <c r="BB19" s="56">
        <v>0.75</v>
      </c>
      <c r="BC19" s="150">
        <f t="shared" si="7"/>
        <v>0.75</v>
      </c>
      <c r="BD19" s="199">
        <f>N62*31</f>
        <v>194.23976301189097</v>
      </c>
      <c r="BF19" s="199">
        <f>P62*31</f>
        <v>32.929824384958216</v>
      </c>
      <c r="BG19" s="199">
        <f>O62*31</f>
        <v>247.76050356381302</v>
      </c>
      <c r="BH19" s="222" t="s">
        <v>202</v>
      </c>
      <c r="BI19" s="56"/>
      <c r="BK19" s="56"/>
      <c r="BL19" s="56">
        <f>IF(AND($B$31="0",$B$12=0),'FOGLIO RACCOLTA DATI DI CONSUMO'!C32,SUM(BL7:BL18))</f>
        <v>203.69156702628845</v>
      </c>
      <c r="BS19" s="259"/>
      <c r="BT19" s="43">
        <v>80</v>
      </c>
      <c r="BU19" s="43"/>
      <c r="BV19" s="42">
        <v>0.57999999999999996</v>
      </c>
      <c r="BW19" s="42">
        <v>0.64</v>
      </c>
      <c r="BX19" s="42">
        <v>0.68</v>
      </c>
      <c r="BY19" s="42">
        <v>0.72</v>
      </c>
      <c r="BZ19" s="42">
        <v>0.73</v>
      </c>
      <c r="CA19" s="42">
        <v>0.74</v>
      </c>
      <c r="CB19" s="42">
        <v>0.75</v>
      </c>
      <c r="CC19" s="42">
        <v>0.74</v>
      </c>
      <c r="CD19" s="42">
        <v>0.73</v>
      </c>
      <c r="CE19" s="42">
        <v>0.72</v>
      </c>
      <c r="CF19" s="42">
        <v>0.68</v>
      </c>
      <c r="CG19" s="42">
        <v>0.64</v>
      </c>
      <c r="CH19" s="42">
        <v>0.57999999999999996</v>
      </c>
      <c r="CJ19" s="56">
        <f t="shared" si="9"/>
        <v>3</v>
      </c>
      <c r="CK19" s="245">
        <v>2</v>
      </c>
      <c r="CL19" s="245" t="s">
        <v>26</v>
      </c>
      <c r="CM19" s="195">
        <v>1304.5</v>
      </c>
      <c r="CN19" s="246">
        <v>1289.5999999999999</v>
      </c>
      <c r="CO19" s="10">
        <v>1370</v>
      </c>
      <c r="CS19" s="247">
        <v>0.01</v>
      </c>
      <c r="CT19" s="150">
        <v>1E-3</v>
      </c>
      <c r="CX19" s="10">
        <v>12</v>
      </c>
      <c r="CY19" s="10">
        <v>160</v>
      </c>
      <c r="CZ19" s="184">
        <f t="shared" ref="CZ19:CZ33" si="10">CY19*CX19:CX20</f>
        <v>1920</v>
      </c>
      <c r="DA19" s="59">
        <v>1322</v>
      </c>
      <c r="DB19" s="56">
        <f t="shared" ref="DB19:DB33" si="11">DA19/CZ19</f>
        <v>0.68854166666666672</v>
      </c>
      <c r="DC19" s="5"/>
      <c r="DD19" s="5">
        <f t="shared" ref="DD19:DD33" si="12">CZ19*365/1000*0.8</f>
        <v>560.64</v>
      </c>
      <c r="DE19" s="186">
        <f t="shared" ref="DE19:DE33" si="13">DA19/DD19</f>
        <v>2.3580194063926943</v>
      </c>
      <c r="DF19" s="193">
        <f t="shared" ref="DF19:DF33" si="14">0.21*DD19</f>
        <v>117.73439999999999</v>
      </c>
      <c r="DT19" s="310" t="s">
        <v>276</v>
      </c>
      <c r="DU19" s="311">
        <f>IF(AND($B$31="0",$B$12=0),"xxxx",(EF18*EA10)*DU16)</f>
        <v>5.1244273972602734</v>
      </c>
      <c r="DV19" s="155"/>
      <c r="DW19" s="155"/>
      <c r="DX19" s="233">
        <f>IF((DV15&lt;DX15),DV15,DX15)</f>
        <v>305.75342465753425</v>
      </c>
      <c r="DY19" s="233">
        <f>IF((DV15&lt;DY15),(DV15-DX19),(DY15-DX15))</f>
        <v>142.6849315068493</v>
      </c>
      <c r="DZ19" s="233">
        <f>IF((DV15&lt;DZ15),(DV15-SUM(DX19:DY19)),(DZ15-SUM(DX19:DY19)))</f>
        <v>34.332553698872175</v>
      </c>
      <c r="EA19" s="233">
        <f>IF((DV15&lt;DZ15),0,(DV15-SUM(DX19:DZ19)))</f>
        <v>0</v>
      </c>
      <c r="EB19" s="260">
        <f>SUM(EB16:EB18)</f>
        <v>63.378293538442847</v>
      </c>
      <c r="EC19" s="834" t="s">
        <v>278</v>
      </c>
      <c r="ED19" s="830"/>
      <c r="EE19" s="253" t="s">
        <v>279</v>
      </c>
      <c r="EF19" s="254">
        <v>2.2700000000000001E-2</v>
      </c>
      <c r="EI19" s="389">
        <f>'gamma celle'!C15</f>
        <v>4244.2199999999993</v>
      </c>
    </row>
    <row r="20" spans="1:150" ht="24.95" customHeight="1" thickBot="1">
      <c r="A20" s="818" t="s">
        <v>137</v>
      </c>
      <c r="B20" s="820">
        <f>$B$13*$B$19</f>
        <v>5176.3599999999997</v>
      </c>
      <c r="C20" s="822"/>
      <c r="D20" s="823"/>
      <c r="AB20" s="10">
        <f>AB19/B20*100</f>
        <v>33.557689422355587</v>
      </c>
      <c r="AH20" s="150">
        <f>$AH$19/$AG$7</f>
        <v>0.29999999999999993</v>
      </c>
      <c r="AI20" s="150">
        <f>$AH$19/$B$20</f>
        <v>0.29999999999999993</v>
      </c>
      <c r="AJ20" s="150"/>
      <c r="AL20" s="10"/>
      <c r="AM20" s="10">
        <f>SUM(AM7:AM19)</f>
        <v>5177.9132963240809</v>
      </c>
      <c r="AN20" s="357">
        <f>SUM(AN7:AN19)</f>
        <v>5177.9132963240809</v>
      </c>
      <c r="AO20" s="10"/>
      <c r="AP20" s="10"/>
      <c r="AQ20" s="10"/>
      <c r="AZ20" s="56">
        <f>SUM(AZ8:AZ19)</f>
        <v>4718.0000000000009</v>
      </c>
      <c r="BA20" s="150">
        <f>SUM(BA8:BA19)/12</f>
        <v>1</v>
      </c>
      <c r="BC20" s="150">
        <f>BD20/B20</f>
        <v>0.76473728550714948</v>
      </c>
      <c r="BD20" s="199">
        <f>SUM(BD8:BD19)</f>
        <v>3958.5554952077878</v>
      </c>
      <c r="BF20" s="199">
        <f>SUM(BF8:BF19)</f>
        <v>1219.3578011162924</v>
      </c>
      <c r="BG20" s="199">
        <f>IF(AND($B$31="0",$B$12=0),$B$29,SUM($BG$8:$BG$19))</f>
        <v>887.49836480094439</v>
      </c>
      <c r="BL20" s="184"/>
      <c r="BS20" s="156"/>
      <c r="BT20" s="151">
        <v>90</v>
      </c>
      <c r="BU20" s="43"/>
      <c r="BV20" s="42">
        <v>0.53</v>
      </c>
      <c r="BW20" s="42">
        <v>0.57999999999999996</v>
      </c>
      <c r="BX20" s="42">
        <v>0.61</v>
      </c>
      <c r="BY20" s="42">
        <v>0.63</v>
      </c>
      <c r="BZ20" s="42">
        <v>0.65</v>
      </c>
      <c r="CA20" s="42">
        <v>0.65</v>
      </c>
      <c r="CB20" s="42">
        <v>0.65</v>
      </c>
      <c r="CC20" s="42">
        <v>0.65</v>
      </c>
      <c r="CD20" s="42">
        <v>0.65</v>
      </c>
      <c r="CE20" s="42">
        <v>0.63</v>
      </c>
      <c r="CF20" s="42">
        <v>0.61</v>
      </c>
      <c r="CG20" s="42">
        <v>0.57999999999999996</v>
      </c>
      <c r="CH20" s="42">
        <v>0.53</v>
      </c>
      <c r="CI20" s="66"/>
      <c r="CJ20" s="56">
        <f t="shared" si="9"/>
        <v>4</v>
      </c>
      <c r="CK20" s="245">
        <v>1</v>
      </c>
      <c r="CL20" s="245" t="s">
        <v>27</v>
      </c>
      <c r="CM20" s="195">
        <v>1185</v>
      </c>
      <c r="CN20" s="246">
        <v>1133.5999999999999</v>
      </c>
      <c r="CO20" s="10">
        <v>1300</v>
      </c>
      <c r="CS20" s="247">
        <f>CS19+0.5%</f>
        <v>1.4999999999999999E-2</v>
      </c>
      <c r="CT20" s="150">
        <v>1.5E-3</v>
      </c>
      <c r="CX20" s="10">
        <v>24</v>
      </c>
      <c r="CY20" s="10">
        <v>160</v>
      </c>
      <c r="CZ20" s="184">
        <f t="shared" si="10"/>
        <v>3840</v>
      </c>
      <c r="DA20" s="59">
        <v>2600</v>
      </c>
      <c r="DB20" s="56">
        <f t="shared" si="11"/>
        <v>0.67708333333333337</v>
      </c>
      <c r="DC20" s="6"/>
      <c r="DD20" s="5">
        <f t="shared" si="12"/>
        <v>1121.28</v>
      </c>
      <c r="DE20" s="186">
        <f t="shared" si="13"/>
        <v>2.3187785388127855</v>
      </c>
      <c r="DF20" s="193">
        <f t="shared" si="14"/>
        <v>235.46879999999999</v>
      </c>
      <c r="DT20" s="310" t="s">
        <v>278</v>
      </c>
      <c r="DU20" s="311">
        <f>IF(AND($B$31="0",$B$12=0),"xxxx",EF19*EN17)</f>
        <v>4.7976458831342752</v>
      </c>
      <c r="DV20" s="155"/>
      <c r="DW20" s="216"/>
      <c r="DX20" s="261">
        <f>DX19*EC15</f>
        <v>0</v>
      </c>
      <c r="DY20" s="262">
        <f>DY19*ED15</f>
        <v>0</v>
      </c>
      <c r="DZ20" s="262">
        <f>DZ19*EE15</f>
        <v>0</v>
      </c>
      <c r="EA20" s="263">
        <f>EA19*EF15</f>
        <v>0</v>
      </c>
      <c r="EB20" s="242">
        <f>SUM(DX20:EA20)</f>
        <v>0</v>
      </c>
      <c r="EC20" s="830" t="s">
        <v>280</v>
      </c>
      <c r="ED20" s="830"/>
      <c r="EE20" s="253" t="s">
        <v>279</v>
      </c>
      <c r="EF20" s="254">
        <v>0</v>
      </c>
      <c r="EI20" s="389">
        <f>'gamma celle'!C16</f>
        <v>5658.96</v>
      </c>
    </row>
    <row r="21" spans="1:150" ht="24.95" customHeight="1" thickBot="1">
      <c r="A21" s="819"/>
      <c r="B21" s="821"/>
      <c r="C21" s="824"/>
      <c r="D21" s="825"/>
      <c r="F21" s="517"/>
      <c r="G21" s="493"/>
      <c r="H21" s="493"/>
      <c r="I21" s="493"/>
      <c r="J21" s="171"/>
      <c r="K21" s="493"/>
      <c r="L21" s="493"/>
      <c r="M21" s="171"/>
      <c r="N21" s="171"/>
      <c r="O21" s="493"/>
      <c r="P21" s="493"/>
      <c r="Q21" s="493"/>
      <c r="R21" s="493"/>
      <c r="T21" s="171"/>
      <c r="U21" s="171"/>
      <c r="V21" s="171"/>
      <c r="W21" s="171"/>
      <c r="Y21" s="171"/>
      <c r="AI21" s="483" t="s">
        <v>433</v>
      </c>
      <c r="AQ21" s="10"/>
      <c r="AZ21" s="56"/>
      <c r="BG21" s="199">
        <f>$B$29</f>
        <v>4718</v>
      </c>
      <c r="BS21" s="264"/>
      <c r="BT21" s="265"/>
      <c r="BU21" s="210"/>
      <c r="BV21" s="155"/>
      <c r="BW21" s="155"/>
      <c r="BX21" s="155"/>
      <c r="BY21" s="155"/>
      <c r="BZ21" s="155"/>
      <c r="CB21" s="211"/>
      <c r="CC21" s="211"/>
      <c r="CD21" s="196"/>
      <c r="CE21" s="196"/>
      <c r="CI21" s="66"/>
      <c r="CJ21" s="56">
        <f t="shared" si="9"/>
        <v>5</v>
      </c>
      <c r="CK21" s="245">
        <v>1</v>
      </c>
      <c r="CL21" s="245" t="s">
        <v>28</v>
      </c>
      <c r="CM21" s="195">
        <v>1182.7</v>
      </c>
      <c r="CN21" s="246">
        <v>1288.5</v>
      </c>
      <c r="CO21" s="10">
        <v>1310</v>
      </c>
      <c r="CS21" s="247">
        <f>CS20+0.5%</f>
        <v>0.02</v>
      </c>
      <c r="CT21" s="150">
        <f>CT20+0.05%</f>
        <v>2E-3</v>
      </c>
      <c r="CX21" s="10">
        <v>48</v>
      </c>
      <c r="CY21" s="10">
        <v>160</v>
      </c>
      <c r="CZ21" s="184">
        <f t="shared" si="10"/>
        <v>7680</v>
      </c>
      <c r="DA21" s="59">
        <v>4890</v>
      </c>
      <c r="DB21" s="56">
        <f t="shared" si="11"/>
        <v>0.63671875</v>
      </c>
      <c r="DC21" s="171"/>
      <c r="DD21" s="5">
        <f t="shared" si="12"/>
        <v>2242.56</v>
      </c>
      <c r="DE21" s="186">
        <f t="shared" si="13"/>
        <v>2.1805436643835616</v>
      </c>
      <c r="DF21" s="193">
        <f t="shared" si="14"/>
        <v>470.93759999999997</v>
      </c>
      <c r="DT21" s="310" t="s">
        <v>281</v>
      </c>
      <c r="DU21" s="311">
        <f>IF(AND($B$31="0",$B$12=0),"xxxx",EF20*DV15)</f>
        <v>0</v>
      </c>
      <c r="DV21" s="266"/>
      <c r="DW21" s="266"/>
      <c r="DX21" s="267"/>
      <c r="DY21" s="267"/>
      <c r="DZ21" s="268"/>
      <c r="EA21" s="268"/>
      <c r="EB21" s="155"/>
      <c r="EC21" s="156"/>
      <c r="ED21" s="156"/>
      <c r="EE21" s="155"/>
      <c r="EF21" s="243"/>
    </row>
    <row r="22" spans="1:150" ht="24.95" customHeight="1" thickBot="1">
      <c r="A22" s="351"/>
      <c r="B22" s="352"/>
      <c r="C22" s="194"/>
      <c r="E22" s="171"/>
      <c r="F22" s="517"/>
      <c r="G22" s="493"/>
      <c r="H22" s="493"/>
      <c r="I22" s="493"/>
      <c r="J22" s="171"/>
      <c r="K22" s="493"/>
      <c r="L22" s="493"/>
      <c r="M22" s="171"/>
      <c r="N22" s="171"/>
      <c r="O22" s="493"/>
      <c r="P22" s="493"/>
      <c r="Q22" s="493"/>
      <c r="R22" s="493"/>
      <c r="T22" s="171"/>
      <c r="U22" s="171"/>
      <c r="V22" s="171"/>
      <c r="W22" s="171"/>
      <c r="Y22" s="171"/>
      <c r="AQ22" s="10"/>
      <c r="BW22" s="38"/>
      <c r="BY22" s="38"/>
      <c r="CB22" s="184"/>
      <c r="CC22" s="184"/>
      <c r="CH22" s="193"/>
      <c r="CI22" s="67"/>
      <c r="CJ22" s="56">
        <f t="shared" si="9"/>
        <v>6</v>
      </c>
      <c r="CK22" s="245">
        <v>2</v>
      </c>
      <c r="CL22" s="245" t="s">
        <v>29</v>
      </c>
      <c r="CM22" s="195">
        <v>1311.9</v>
      </c>
      <c r="CN22" s="269">
        <v>1292.8</v>
      </c>
      <c r="CO22" s="10">
        <v>1370</v>
      </c>
      <c r="CS22" s="247">
        <f t="shared" ref="CS22:CS42" si="15">CS21+0.5%</f>
        <v>2.5000000000000001E-2</v>
      </c>
      <c r="CT22" s="150">
        <f t="shared" ref="CT22:CT42" si="16">CT21+0.05%</f>
        <v>2.5000000000000001E-3</v>
      </c>
      <c r="CX22" s="10">
        <v>12</v>
      </c>
      <c r="CY22" s="5">
        <v>200</v>
      </c>
      <c r="CZ22" s="184">
        <f t="shared" si="10"/>
        <v>2400</v>
      </c>
      <c r="DA22" s="60">
        <v>1605</v>
      </c>
      <c r="DB22" s="56">
        <f t="shared" si="11"/>
        <v>0.66874999999999996</v>
      </c>
      <c r="DC22" s="171"/>
      <c r="DD22" s="5">
        <f t="shared" si="12"/>
        <v>700.80000000000007</v>
      </c>
      <c r="DE22" s="186">
        <f t="shared" si="13"/>
        <v>2.290239726027397</v>
      </c>
      <c r="DF22" s="193">
        <f t="shared" si="14"/>
        <v>147.16800000000001</v>
      </c>
      <c r="DT22" s="310" t="s">
        <v>282</v>
      </c>
      <c r="DU22" s="312">
        <f>IF(AND($B$31="0",$B$12=0),"xxxx",IF((DV22="Bioraria"),EB19,EB20))</f>
        <v>63.378293538442847</v>
      </c>
      <c r="DV22" s="858" t="s">
        <v>283</v>
      </c>
      <c r="DW22" s="859"/>
      <c r="DX22" s="270" t="s">
        <v>284</v>
      </c>
      <c r="DY22" s="216"/>
      <c r="DZ22" s="860" t="s">
        <v>285</v>
      </c>
      <c r="EA22" s="861"/>
      <c r="EB22" s="271"/>
    </row>
    <row r="23" spans="1:150" ht="12" customHeight="1" thickBot="1">
      <c r="A23" s="274"/>
      <c r="B23" s="353"/>
      <c r="C23" s="194"/>
      <c r="E23" s="171"/>
      <c r="AQ23" s="10"/>
      <c r="BC23" s="364" t="s">
        <v>375</v>
      </c>
      <c r="BD23" s="197" t="b">
        <f>AND(B20&gt;0,B32=0)</f>
        <v>0</v>
      </c>
      <c r="BW23" s="38"/>
      <c r="BY23" s="38"/>
      <c r="CB23" s="184"/>
      <c r="CC23" s="184"/>
      <c r="CH23" s="193"/>
      <c r="CI23" s="67"/>
      <c r="CJ23" s="56">
        <f t="shared" si="9"/>
        <v>7</v>
      </c>
      <c r="CK23" s="245">
        <v>1</v>
      </c>
      <c r="CL23" s="245" t="s">
        <v>30</v>
      </c>
      <c r="CM23" s="195">
        <v>1186.9000000000001</v>
      </c>
      <c r="CN23" s="269">
        <v>1264.5999999999999</v>
      </c>
      <c r="CO23" s="10">
        <v>1300</v>
      </c>
      <c r="CS23" s="247">
        <f t="shared" si="15"/>
        <v>3.0000000000000002E-2</v>
      </c>
      <c r="CT23" s="150">
        <f t="shared" si="16"/>
        <v>3.0000000000000001E-3</v>
      </c>
      <c r="CX23" s="10">
        <v>24</v>
      </c>
      <c r="CY23" s="6">
        <v>200</v>
      </c>
      <c r="CZ23" s="184">
        <f t="shared" si="10"/>
        <v>4800</v>
      </c>
      <c r="DA23" s="60">
        <v>3255</v>
      </c>
      <c r="DB23" s="56">
        <f t="shared" si="11"/>
        <v>0.67812499999999998</v>
      </c>
      <c r="DC23" s="5"/>
      <c r="DD23" s="5">
        <f t="shared" si="12"/>
        <v>1401.6000000000001</v>
      </c>
      <c r="DE23" s="186">
        <f t="shared" si="13"/>
        <v>2.3223458904109586</v>
      </c>
      <c r="DF23" s="193">
        <f t="shared" si="14"/>
        <v>294.33600000000001</v>
      </c>
      <c r="DS23" s="10">
        <f>'FOGLIO RACCOLTA DATI DI CONSUMO'!B17</f>
        <v>265</v>
      </c>
      <c r="DT23" s="310" t="s">
        <v>287</v>
      </c>
      <c r="DU23" s="311">
        <f>IF(AND($B$31="0",$B$12=0),'FOGLIO RACCOLTA DATI DI CONSUMO'!B17/1.1,SUM(DU18:DU22))</f>
        <v>80.567921887330542</v>
      </c>
      <c r="DV23" s="248"/>
      <c r="DW23" s="248"/>
      <c r="DX23" s="272">
        <v>0.1</v>
      </c>
      <c r="DY23" s="216"/>
      <c r="DZ23" s="863">
        <f>DU23*(1+DX23)</f>
        <v>88.624714076063597</v>
      </c>
      <c r="EA23" s="864"/>
      <c r="EB23" s="271"/>
    </row>
    <row r="24" spans="1:150" ht="12" hidden="1" customHeight="1" thickBot="1">
      <c r="A24" s="63" t="s">
        <v>135</v>
      </c>
      <c r="B24" s="354">
        <v>8.0000000000000036E-3</v>
      </c>
      <c r="C24" s="63" t="s">
        <v>134</v>
      </c>
      <c r="AQ24" s="10"/>
      <c r="BW24" s="38"/>
      <c r="BY24" s="38"/>
      <c r="CD24" s="193"/>
      <c r="CI24" s="67"/>
      <c r="CJ24" s="56">
        <f t="shared" si="9"/>
        <v>8</v>
      </c>
      <c r="CK24" s="245">
        <v>3</v>
      </c>
      <c r="CL24" s="245" t="s">
        <v>31</v>
      </c>
      <c r="CM24" s="195">
        <v>1372.5</v>
      </c>
      <c r="CN24" s="269">
        <v>1339.8</v>
      </c>
      <c r="CO24" s="10">
        <v>1410</v>
      </c>
      <c r="CS24" s="247">
        <f t="shared" si="15"/>
        <v>3.5000000000000003E-2</v>
      </c>
      <c r="CT24" s="150">
        <f t="shared" si="16"/>
        <v>3.5000000000000001E-3</v>
      </c>
      <c r="CX24" s="10">
        <v>48</v>
      </c>
      <c r="CY24" s="6">
        <v>200</v>
      </c>
      <c r="CZ24" s="184">
        <f t="shared" si="10"/>
        <v>9600</v>
      </c>
      <c r="DA24" s="60">
        <v>6160</v>
      </c>
      <c r="DB24" s="56">
        <f t="shared" si="11"/>
        <v>0.64166666666666672</v>
      </c>
      <c r="DC24" s="171"/>
      <c r="DD24" s="5">
        <f t="shared" si="12"/>
        <v>2803.2000000000003</v>
      </c>
      <c r="DE24" s="186">
        <f t="shared" si="13"/>
        <v>2.1974885844748857</v>
      </c>
      <c r="DF24" s="193">
        <f t="shared" si="14"/>
        <v>588.67200000000003</v>
      </c>
      <c r="DT24" s="296"/>
      <c r="DU24" s="296"/>
      <c r="DV24" s="202"/>
      <c r="DW24" s="202"/>
      <c r="DX24" s="202"/>
      <c r="DY24" s="202"/>
      <c r="DZ24" s="203"/>
      <c r="EA24" s="203"/>
      <c r="EB24" s="202"/>
      <c r="EL24"/>
      <c r="ET24" s="10"/>
    </row>
    <row r="25" spans="1:150" ht="12" hidden="1" customHeight="1" thickTop="1" thickBot="1">
      <c r="A25" s="63" t="s">
        <v>136</v>
      </c>
      <c r="B25" s="355">
        <f>B24*25</f>
        <v>0.20000000000000009</v>
      </c>
      <c r="C25" s="194"/>
      <c r="D25" s="274"/>
      <c r="AQ25" s="10"/>
      <c r="BW25" s="38"/>
      <c r="BY25" s="38"/>
      <c r="CD25" s="193"/>
      <c r="CI25" s="67"/>
      <c r="CJ25" s="56">
        <f t="shared" si="9"/>
        <v>9</v>
      </c>
      <c r="CK25" s="245">
        <v>4</v>
      </c>
      <c r="CL25" s="245" t="s">
        <v>32</v>
      </c>
      <c r="CM25" s="195">
        <v>1561.3</v>
      </c>
      <c r="CN25" s="269">
        <v>1364</v>
      </c>
      <c r="CO25" s="10">
        <v>1480</v>
      </c>
      <c r="CS25" s="247">
        <f t="shared" si="15"/>
        <v>0.04</v>
      </c>
      <c r="CT25" s="150">
        <f t="shared" si="16"/>
        <v>4.0000000000000001E-3</v>
      </c>
      <c r="CX25" s="10">
        <v>12</v>
      </c>
      <c r="CY25" s="6">
        <v>260</v>
      </c>
      <c r="CZ25" s="184">
        <f t="shared" si="10"/>
        <v>3120</v>
      </c>
      <c r="DA25" s="60">
        <v>1828</v>
      </c>
      <c r="DB25" s="56">
        <f t="shared" si="11"/>
        <v>0.58589743589743593</v>
      </c>
      <c r="DC25" s="5"/>
      <c r="DD25" s="5">
        <f t="shared" si="12"/>
        <v>911.04</v>
      </c>
      <c r="DE25" s="186">
        <f t="shared" si="13"/>
        <v>2.0064980681419038</v>
      </c>
      <c r="DF25" s="193">
        <f t="shared" si="14"/>
        <v>191.3184</v>
      </c>
      <c r="DT25" s="862" t="s">
        <v>288</v>
      </c>
      <c r="DU25" s="862"/>
      <c r="DV25" s="273"/>
      <c r="DW25" s="273"/>
      <c r="DX25" s="273"/>
      <c r="DY25" s="273"/>
      <c r="DZ25" s="868">
        <f>DZ23</f>
        <v>88.624714076063597</v>
      </c>
      <c r="EA25" s="868"/>
      <c r="EB25" s="273"/>
      <c r="EC25" s="273"/>
      <c r="ED25" s="273"/>
      <c r="EE25" s="273"/>
      <c r="EF25" s="273"/>
    </row>
    <row r="26" spans="1:150" ht="12" customHeight="1" thickTop="1">
      <c r="A26" s="63"/>
      <c r="B26" s="355"/>
      <c r="C26" s="194"/>
      <c r="F26" s="519"/>
      <c r="G26" s="494"/>
      <c r="H26" s="494"/>
      <c r="I26" s="494"/>
      <c r="J26" s="274"/>
      <c r="K26" s="494"/>
      <c r="L26" s="494"/>
      <c r="M26" s="274"/>
      <c r="N26" s="274"/>
      <c r="O26" s="494"/>
      <c r="P26" s="494"/>
      <c r="Q26" s="494"/>
      <c r="R26" s="494"/>
      <c r="T26" s="274"/>
      <c r="U26" s="274"/>
      <c r="V26" s="274"/>
      <c r="W26" s="274"/>
      <c r="Y26" s="274"/>
      <c r="Z26" s="274"/>
      <c r="AQ26" s="10"/>
      <c r="BW26" s="38"/>
      <c r="BY26" s="38"/>
      <c r="CD26" s="193"/>
      <c r="CI26" s="67"/>
      <c r="CJ26" s="56">
        <f t="shared" si="9"/>
        <v>10</v>
      </c>
      <c r="CK26" s="245">
        <v>1</v>
      </c>
      <c r="CL26" s="245" t="s">
        <v>33</v>
      </c>
      <c r="CM26" s="195">
        <v>1160.5999999999999</v>
      </c>
      <c r="CN26" s="269">
        <v>1191.3</v>
      </c>
      <c r="CO26" s="10">
        <v>1150</v>
      </c>
      <c r="CS26" s="247">
        <f t="shared" si="15"/>
        <v>4.4999999999999998E-2</v>
      </c>
      <c r="CT26" s="150">
        <f t="shared" si="16"/>
        <v>4.5000000000000005E-3</v>
      </c>
      <c r="CX26" s="10">
        <v>24</v>
      </c>
      <c r="CY26" s="171">
        <v>260</v>
      </c>
      <c r="CZ26" s="184">
        <f t="shared" si="10"/>
        <v>6240</v>
      </c>
      <c r="DA26" s="60">
        <v>3635</v>
      </c>
      <c r="DB26" s="56">
        <f t="shared" si="11"/>
        <v>0.58253205128205132</v>
      </c>
      <c r="DC26" s="171"/>
      <c r="DD26" s="5">
        <f t="shared" si="12"/>
        <v>1822.08</v>
      </c>
      <c r="DE26" s="186">
        <f t="shared" si="13"/>
        <v>1.9949727783631894</v>
      </c>
      <c r="DF26" s="193">
        <f t="shared" si="14"/>
        <v>382.63679999999999</v>
      </c>
      <c r="DT26" s="313"/>
      <c r="DU26" s="313"/>
      <c r="DV26" s="206"/>
      <c r="DW26" s="206"/>
      <c r="DX26" s="206"/>
      <c r="DY26" s="206"/>
      <c r="DZ26" s="206"/>
      <c r="EA26" s="206"/>
      <c r="EB26" s="206"/>
      <c r="EC26" s="206"/>
      <c r="ED26" s="206"/>
      <c r="EE26" s="275"/>
      <c r="EF26" s="276"/>
    </row>
    <row r="27" spans="1:150" ht="69.75" customHeight="1" thickBot="1">
      <c r="A27" s="274"/>
      <c r="B27" s="353"/>
      <c r="C27" s="194"/>
      <c r="E27" s="274"/>
      <c r="AA27" s="274"/>
      <c r="AE27" s="274"/>
      <c r="AF27" s="274"/>
      <c r="AG27" s="274"/>
      <c r="AH27" s="274"/>
      <c r="AQ27" s="10"/>
      <c r="BN27" s="38"/>
      <c r="BO27" s="38"/>
      <c r="BQ27" s="38"/>
      <c r="BW27" s="38"/>
      <c r="BY27" s="38"/>
      <c r="CD27" s="193"/>
      <c r="CI27" s="67"/>
      <c r="CJ27" s="56">
        <f t="shared" si="9"/>
        <v>11</v>
      </c>
      <c r="CK27" s="245">
        <v>3</v>
      </c>
      <c r="CL27" s="245" t="s">
        <v>34</v>
      </c>
      <c r="CM27" s="195">
        <v>1327.9</v>
      </c>
      <c r="CN27" s="269">
        <v>1333</v>
      </c>
      <c r="CO27" s="10">
        <v>1400</v>
      </c>
      <c r="CS27" s="247">
        <f t="shared" si="15"/>
        <v>4.9999999999999996E-2</v>
      </c>
      <c r="CT27" s="150">
        <f t="shared" si="16"/>
        <v>5.000000000000001E-3</v>
      </c>
      <c r="CX27" s="10">
        <v>48</v>
      </c>
      <c r="CY27" s="171">
        <v>260</v>
      </c>
      <c r="CZ27" s="184">
        <f t="shared" si="10"/>
        <v>12480</v>
      </c>
      <c r="DA27" s="60">
        <v>7330</v>
      </c>
      <c r="DB27" s="56">
        <f t="shared" si="11"/>
        <v>0.58733974358974361</v>
      </c>
      <c r="DC27" s="189" t="s">
        <v>148</v>
      </c>
      <c r="DD27" s="5">
        <f t="shared" si="12"/>
        <v>3644.16</v>
      </c>
      <c r="DE27" s="186">
        <f t="shared" si="13"/>
        <v>2.0114374780470672</v>
      </c>
      <c r="DF27" s="193">
        <f t="shared" si="14"/>
        <v>765.27359999999999</v>
      </c>
    </row>
    <row r="28" spans="1:150" ht="45" customHeight="1" thickBot="1">
      <c r="A28" s="857" t="s">
        <v>237</v>
      </c>
      <c r="B28" s="846"/>
      <c r="C28" s="846"/>
      <c r="D28" s="827"/>
      <c r="AQ28" s="10"/>
      <c r="BO28" s="38"/>
      <c r="BQ28" s="38"/>
      <c r="BW28" s="38"/>
      <c r="BY28" s="38"/>
      <c r="CD28" s="193"/>
      <c r="CI28" s="67"/>
      <c r="CJ28" s="56">
        <f t="shared" si="9"/>
        <v>12</v>
      </c>
      <c r="CK28" s="245">
        <v>1</v>
      </c>
      <c r="CL28" s="245" t="s">
        <v>35</v>
      </c>
      <c r="CM28" s="195">
        <v>1150.8</v>
      </c>
      <c r="CN28" s="269">
        <v>1221.9000000000001</v>
      </c>
      <c r="CO28" s="10">
        <v>1210</v>
      </c>
      <c r="CS28" s="247">
        <f t="shared" si="15"/>
        <v>5.4999999999999993E-2</v>
      </c>
      <c r="CT28" s="150">
        <f t="shared" si="16"/>
        <v>5.5000000000000014E-3</v>
      </c>
      <c r="CX28" s="10">
        <v>12</v>
      </c>
      <c r="CY28" s="171">
        <v>300</v>
      </c>
      <c r="CZ28" s="184">
        <f t="shared" si="10"/>
        <v>3600</v>
      </c>
      <c r="DA28" s="60">
        <v>2225</v>
      </c>
      <c r="DB28" s="56">
        <f t="shared" si="11"/>
        <v>0.61805555555555558</v>
      </c>
      <c r="DD28" s="5">
        <f t="shared" si="12"/>
        <v>1051.2</v>
      </c>
      <c r="DE28" s="186">
        <f t="shared" si="13"/>
        <v>2.1166286149162858</v>
      </c>
      <c r="DF28" s="193">
        <f t="shared" si="14"/>
        <v>220.75200000000001</v>
      </c>
      <c r="ES28" s="10"/>
      <c r="ET28" s="10"/>
    </row>
    <row r="29" spans="1:150" ht="39.950000000000003" customHeight="1" thickTop="1" thickBot="1">
      <c r="A29" s="608" t="s">
        <v>448</v>
      </c>
      <c r="B29" s="616">
        <f>'FOGLIO RACCOLTA DATI DI CONSUMO'!C31</f>
        <v>4718</v>
      </c>
      <c r="C29" s="854"/>
      <c r="D29" s="827"/>
      <c r="F29" s="519"/>
      <c r="G29" s="494"/>
      <c r="H29" s="494"/>
      <c r="I29" s="494"/>
      <c r="J29" s="274"/>
      <c r="K29" s="494"/>
      <c r="L29" s="494"/>
      <c r="M29" s="274"/>
      <c r="N29" s="274"/>
      <c r="O29" s="494"/>
      <c r="P29" s="494"/>
      <c r="Q29" s="494"/>
      <c r="R29" s="494"/>
      <c r="T29" s="274"/>
      <c r="U29" s="274"/>
      <c r="V29" s="274"/>
      <c r="W29" s="274"/>
      <c r="Y29" s="274"/>
      <c r="Z29" s="274"/>
      <c r="AQ29" s="10"/>
      <c r="BO29" s="38"/>
      <c r="BP29" s="194"/>
      <c r="BQ29" s="194"/>
      <c r="BW29" s="38"/>
      <c r="BY29" s="38"/>
      <c r="CD29" s="193"/>
      <c r="CI29" s="67"/>
      <c r="CJ29" s="56">
        <f t="shared" si="9"/>
        <v>13</v>
      </c>
      <c r="CK29" s="245">
        <v>1</v>
      </c>
      <c r="CL29" s="245" t="s">
        <v>36</v>
      </c>
      <c r="CM29" s="195">
        <v>1186.7</v>
      </c>
      <c r="CN29" s="269">
        <v>1254</v>
      </c>
      <c r="CO29" s="10">
        <v>1260</v>
      </c>
      <c r="CS29" s="247">
        <f t="shared" si="15"/>
        <v>5.9999999999999991E-2</v>
      </c>
      <c r="CT29" s="150">
        <f t="shared" si="16"/>
        <v>6.0000000000000019E-3</v>
      </c>
      <c r="CX29" s="10">
        <v>24</v>
      </c>
      <c r="CY29" s="194">
        <v>300</v>
      </c>
      <c r="CZ29" s="184">
        <f t="shared" si="10"/>
        <v>7200</v>
      </c>
      <c r="DA29" s="60">
        <v>4374</v>
      </c>
      <c r="DB29" s="56">
        <f t="shared" si="11"/>
        <v>0.60750000000000004</v>
      </c>
      <c r="DC29" s="9"/>
      <c r="DD29" s="5">
        <f t="shared" si="12"/>
        <v>2102.4</v>
      </c>
      <c r="DE29" s="186">
        <f t="shared" si="13"/>
        <v>2.0804794520547945</v>
      </c>
      <c r="DF29" s="193">
        <f t="shared" si="14"/>
        <v>441.50400000000002</v>
      </c>
      <c r="DT29" s="831" t="s">
        <v>264</v>
      </c>
      <c r="DU29" s="831"/>
      <c r="DV29" s="204" t="s">
        <v>265</v>
      </c>
      <c r="DW29" s="205">
        <f>EA29</f>
        <v>59</v>
      </c>
      <c r="DX29" s="832" t="s">
        <v>266</v>
      </c>
      <c r="DY29" s="832"/>
      <c r="DZ29" s="204" t="s">
        <v>265</v>
      </c>
      <c r="EA29" s="205">
        <v>59</v>
      </c>
      <c r="EB29" s="206"/>
      <c r="EC29" s="833" t="s">
        <v>267</v>
      </c>
      <c r="ED29" s="833"/>
      <c r="EE29" s="833"/>
      <c r="EF29" s="833"/>
      <c r="EL29"/>
      <c r="EM29" s="383" t="s">
        <v>403</v>
      </c>
      <c r="EN29" s="383"/>
      <c r="EO29" s="383"/>
      <c r="EP29" s="383"/>
      <c r="ER29" s="375"/>
      <c r="ES29" s="10"/>
      <c r="ET29" s="10"/>
    </row>
    <row r="30" spans="1:150" ht="45" hidden="1" customHeight="1" thickBot="1">
      <c r="A30" s="25"/>
      <c r="B30" s="436" t="s">
        <v>158</v>
      </c>
      <c r="C30" s="612"/>
      <c r="D30" s="274"/>
      <c r="E30" s="274"/>
      <c r="F30" s="519"/>
      <c r="G30" s="494"/>
      <c r="H30" s="494"/>
      <c r="I30" s="494"/>
      <c r="J30" s="274"/>
      <c r="K30" s="494"/>
      <c r="L30" s="494"/>
      <c r="M30" s="274"/>
      <c r="N30" s="274"/>
      <c r="O30" s="494"/>
      <c r="P30" s="494"/>
      <c r="Q30" s="494"/>
      <c r="R30" s="494"/>
      <c r="T30" s="274"/>
      <c r="U30" s="274"/>
      <c r="V30" s="274"/>
      <c r="W30" s="274"/>
      <c r="Y30" s="274"/>
      <c r="Z30" s="274"/>
      <c r="AA30" s="274"/>
      <c r="AE30" s="274"/>
      <c r="AF30" s="274"/>
      <c r="AG30" s="274"/>
      <c r="AH30" s="274"/>
      <c r="AQ30" s="10"/>
      <c r="BP30" s="277"/>
      <c r="BQ30" s="277"/>
      <c r="BR30" s="38"/>
      <c r="BW30" s="38"/>
      <c r="BY30" s="38"/>
      <c r="CD30" s="193"/>
      <c r="CI30" s="67"/>
      <c r="CJ30" s="56">
        <f t="shared" si="9"/>
        <v>14</v>
      </c>
      <c r="CK30" s="245">
        <v>2</v>
      </c>
      <c r="CL30" s="245" t="s">
        <v>37</v>
      </c>
      <c r="CM30" s="195">
        <v>1273.7</v>
      </c>
      <c r="CN30" s="269">
        <v>1270.5999999999999</v>
      </c>
      <c r="CO30" s="10">
        <v>1270</v>
      </c>
      <c r="CS30" s="247">
        <f t="shared" si="15"/>
        <v>6.4999999999999988E-2</v>
      </c>
      <c r="CT30" s="150">
        <f t="shared" si="16"/>
        <v>6.5000000000000023E-3</v>
      </c>
      <c r="CX30" s="10">
        <v>48</v>
      </c>
      <c r="CY30" s="194">
        <v>300</v>
      </c>
      <c r="CZ30" s="184">
        <f t="shared" si="10"/>
        <v>14400</v>
      </c>
      <c r="DA30" s="60">
        <v>8085</v>
      </c>
      <c r="DB30" s="56">
        <f t="shared" si="11"/>
        <v>0.56145833333333328</v>
      </c>
      <c r="DD30" s="5">
        <f t="shared" si="12"/>
        <v>4204.8</v>
      </c>
      <c r="DE30" s="186">
        <f t="shared" si="13"/>
        <v>1.9228025114155249</v>
      </c>
      <c r="DF30" s="193">
        <f t="shared" si="14"/>
        <v>883.00800000000004</v>
      </c>
      <c r="DH30" s="39"/>
      <c r="DM30" s="531"/>
      <c r="DO30" s="531"/>
      <c r="DP30" s="532"/>
      <c r="DT30" s="297" t="s">
        <v>192</v>
      </c>
      <c r="DU30" s="298" t="s">
        <v>193</v>
      </c>
      <c r="DV30" s="207" t="s">
        <v>268</v>
      </c>
      <c r="DW30" s="208">
        <v>0.17260273972602741</v>
      </c>
      <c r="DX30" s="209"/>
      <c r="DY30" s="209"/>
      <c r="DZ30" s="207" t="s">
        <v>268</v>
      </c>
      <c r="EA30" s="210">
        <f>EA29/365</f>
        <v>0.16164383561643836</v>
      </c>
      <c r="EB30" s="155"/>
      <c r="EC30" s="155" t="s">
        <v>253</v>
      </c>
      <c r="ED30" s="155" t="s">
        <v>254</v>
      </c>
      <c r="EE30" s="155" t="s">
        <v>255</v>
      </c>
      <c r="EF30" s="379"/>
      <c r="EL30"/>
      <c r="EN30" s="384" t="s">
        <v>404</v>
      </c>
      <c r="EO30" s="384" t="s">
        <v>405</v>
      </c>
      <c r="ER30" s="375">
        <v>365</v>
      </c>
      <c r="ES30" s="10"/>
      <c r="ET30" s="10"/>
    </row>
    <row r="31" spans="1:150" ht="45" customHeight="1" thickBot="1">
      <c r="A31" s="25" t="s">
        <v>203</v>
      </c>
      <c r="B31" s="617">
        <v>2829.48</v>
      </c>
      <c r="C31" s="855" t="s">
        <v>365</v>
      </c>
      <c r="D31" s="827"/>
      <c r="E31" s="274"/>
      <c r="F31" s="519"/>
      <c r="G31" s="494"/>
      <c r="H31" s="494"/>
      <c r="I31" s="494"/>
      <c r="J31" s="274"/>
      <c r="K31" s="494"/>
      <c r="L31" s="494"/>
      <c r="M31" s="274"/>
      <c r="N31" s="274"/>
      <c r="O31" s="494"/>
      <c r="P31" s="494"/>
      <c r="Q31" s="494"/>
      <c r="R31" s="494"/>
      <c r="T31" s="274"/>
      <c r="U31" s="274"/>
      <c r="V31" s="274"/>
      <c r="W31" s="274"/>
      <c r="Y31" s="274"/>
      <c r="Z31" s="274"/>
      <c r="AA31" s="279"/>
      <c r="AE31" s="274"/>
      <c r="AF31" s="274"/>
      <c r="AG31" s="274"/>
      <c r="AH31" s="274"/>
      <c r="BP31" s="277"/>
      <c r="BQ31" s="277"/>
      <c r="BR31" s="38"/>
      <c r="BW31" s="38"/>
      <c r="BY31" s="38"/>
      <c r="CD31" s="193"/>
      <c r="CI31" s="67"/>
      <c r="CJ31" s="56">
        <f t="shared" si="9"/>
        <v>15</v>
      </c>
      <c r="CK31" s="245">
        <v>1</v>
      </c>
      <c r="CL31" s="245" t="s">
        <v>38</v>
      </c>
      <c r="CM31" s="195">
        <v>1227.4000000000001</v>
      </c>
      <c r="CN31" s="269">
        <v>1153.3</v>
      </c>
      <c r="CO31" s="10">
        <v>1110</v>
      </c>
      <c r="CS31" s="247">
        <f t="shared" si="15"/>
        <v>6.9999999999999993E-2</v>
      </c>
      <c r="CT31" s="150">
        <f t="shared" si="16"/>
        <v>7.0000000000000027E-3</v>
      </c>
      <c r="CX31" s="10">
        <v>12</v>
      </c>
      <c r="CY31" s="194">
        <v>400</v>
      </c>
      <c r="CZ31" s="184">
        <f t="shared" si="10"/>
        <v>4800</v>
      </c>
      <c r="DA31" s="60">
        <v>3105</v>
      </c>
      <c r="DB31" s="56">
        <f t="shared" si="11"/>
        <v>0.64687499999999998</v>
      </c>
      <c r="DD31" s="5">
        <f t="shared" si="12"/>
        <v>1401.6000000000001</v>
      </c>
      <c r="DE31" s="186">
        <f t="shared" si="13"/>
        <v>2.2153253424657531</v>
      </c>
      <c r="DF31" s="193">
        <f t="shared" si="14"/>
        <v>294.33600000000001</v>
      </c>
      <c r="DH31" s="39"/>
      <c r="DP31" s="532"/>
      <c r="DT31" s="299" t="s">
        <v>269</v>
      </c>
      <c r="DU31" s="299" t="s">
        <v>270</v>
      </c>
      <c r="DV31" s="155" t="s">
        <v>271</v>
      </c>
      <c r="DW31" s="155"/>
      <c r="DX31" s="212" t="s">
        <v>253</v>
      </c>
      <c r="DY31" s="212" t="s">
        <v>254</v>
      </c>
      <c r="DZ31" s="213" t="s">
        <v>255</v>
      </c>
      <c r="EA31" s="213" t="s">
        <v>256</v>
      </c>
      <c r="EB31" s="155"/>
      <c r="EC31" s="214">
        <v>1800</v>
      </c>
      <c r="ED31" s="214">
        <v>2640</v>
      </c>
      <c r="EE31" s="214">
        <v>4440</v>
      </c>
      <c r="EF31" s="214"/>
      <c r="EL31"/>
      <c r="EN31" s="387">
        <f>EA29</f>
        <v>59</v>
      </c>
      <c r="EO31" s="387">
        <f>DV35</f>
        <v>116.47788819315434</v>
      </c>
      <c r="ER31" s="375">
        <v>365</v>
      </c>
      <c r="ES31" s="10"/>
      <c r="ET31" s="10"/>
    </row>
    <row r="32" spans="1:150" ht="39.950000000000003" customHeight="1" thickBot="1">
      <c r="A32" s="25" t="s">
        <v>207</v>
      </c>
      <c r="B32" s="618">
        <f>DGET('gamma celle'!B2:'gamma celle'!O16,'gamma celle'!B2,B$30:B$31)</f>
        <v>9.6</v>
      </c>
      <c r="C32" s="856" t="s">
        <v>357</v>
      </c>
      <c r="D32" s="827"/>
      <c r="E32" s="274"/>
      <c r="F32" s="519"/>
      <c r="G32" s="494"/>
      <c r="H32" s="494"/>
      <c r="I32" s="494"/>
      <c r="J32" s="274"/>
      <c r="K32" s="494"/>
      <c r="L32" s="494"/>
      <c r="M32" s="274"/>
      <c r="N32" s="274"/>
      <c r="O32" s="494"/>
      <c r="P32" s="494"/>
      <c r="Q32" s="494"/>
      <c r="R32" s="494"/>
      <c r="T32" s="274"/>
      <c r="U32" s="274"/>
      <c r="V32" s="274"/>
      <c r="W32" s="274"/>
      <c r="Y32" s="274"/>
      <c r="Z32" s="274"/>
      <c r="AA32" s="274"/>
      <c r="AE32" s="274"/>
      <c r="AF32" s="274"/>
      <c r="AG32" s="274"/>
      <c r="AH32" s="274"/>
      <c r="AQ32" s="59"/>
      <c r="AR32" s="59"/>
      <c r="AS32" s="59"/>
      <c r="BP32" s="277"/>
      <c r="BQ32" s="277"/>
      <c r="BR32" s="38"/>
      <c r="BW32" s="38"/>
      <c r="BY32" s="38"/>
      <c r="CD32" s="193"/>
      <c r="CI32" s="67"/>
      <c r="CJ32" s="56">
        <f t="shared" si="9"/>
        <v>16</v>
      </c>
      <c r="CK32" s="245">
        <v>2</v>
      </c>
      <c r="CL32" s="245" t="s">
        <v>39</v>
      </c>
      <c r="CM32" s="195">
        <v>1247.9000000000001</v>
      </c>
      <c r="CN32" s="269">
        <v>1268</v>
      </c>
      <c r="CO32" s="10">
        <v>1190</v>
      </c>
      <c r="CS32" s="247">
        <f t="shared" si="15"/>
        <v>7.4999999999999997E-2</v>
      </c>
      <c r="CT32" s="150">
        <f t="shared" si="16"/>
        <v>7.5000000000000032E-3</v>
      </c>
      <c r="CX32" s="10">
        <v>24</v>
      </c>
      <c r="CY32" s="189">
        <v>400</v>
      </c>
      <c r="CZ32" s="184">
        <f t="shared" si="10"/>
        <v>9600</v>
      </c>
      <c r="DA32" s="60">
        <v>5866</v>
      </c>
      <c r="DB32" s="56">
        <f t="shared" si="11"/>
        <v>0.61104166666666671</v>
      </c>
      <c r="DD32" s="5">
        <f t="shared" si="12"/>
        <v>2803.2000000000003</v>
      </c>
      <c r="DE32" s="186">
        <f t="shared" si="13"/>
        <v>2.0926084474885842</v>
      </c>
      <c r="DF32" s="193">
        <f t="shared" si="14"/>
        <v>588.67200000000003</v>
      </c>
      <c r="DH32" s="39"/>
      <c r="DI32" s="533" t="s">
        <v>369</v>
      </c>
      <c r="DJ32" s="534">
        <v>1</v>
      </c>
      <c r="DK32" s="534">
        <v>2</v>
      </c>
      <c r="DL32" s="534">
        <v>3</v>
      </c>
      <c r="DM32" s="534">
        <v>4</v>
      </c>
      <c r="DN32" s="534">
        <v>5</v>
      </c>
      <c r="DP32" s="535" t="s">
        <v>374</v>
      </c>
      <c r="DT32" s="300">
        <v>3971</v>
      </c>
      <c r="DU32" s="301"/>
      <c r="DV32" s="215">
        <f>IF(AND($B$31="0",$B$12=0),"xxxx",5/100*($BG$9+$BG$10))</f>
        <v>5.8238944096577177</v>
      </c>
      <c r="DW32" s="216"/>
      <c r="DX32" s="217">
        <f>(DV32*DX39)/DV35</f>
        <v>5.8238944096577177</v>
      </c>
      <c r="DY32" s="217">
        <f>(DV32*DY39)/DV35</f>
        <v>0</v>
      </c>
      <c r="DZ32" s="217">
        <f>(DV32*DZ39)/DV35</f>
        <v>0</v>
      </c>
      <c r="EA32" s="217">
        <f>(DV32*EA39)/DV35</f>
        <v>0</v>
      </c>
      <c r="EB32" s="218"/>
      <c r="EC32" s="219">
        <f>EC12</f>
        <v>0.11321200000000001</v>
      </c>
      <c r="ED32" s="219">
        <f t="shared" ref="EC32:EF33" si="17">ED12</f>
        <v>0.16523199999999999</v>
      </c>
      <c r="EE32" s="219">
        <f t="shared" si="17"/>
        <v>0.23802200000000001</v>
      </c>
      <c r="EF32" s="219">
        <f t="shared" si="17"/>
        <v>0.23802200000000001</v>
      </c>
      <c r="EL32"/>
      <c r="EN32" s="385">
        <f>EA29</f>
        <v>59</v>
      </c>
      <c r="EO32" s="385">
        <f>DV35</f>
        <v>116.47788819315434</v>
      </c>
      <c r="ER32" s="375"/>
      <c r="ES32" s="10"/>
      <c r="ET32" s="10"/>
    </row>
    <row r="33" spans="1:150" ht="39.950000000000003" customHeight="1" thickBot="1">
      <c r="A33" s="25" t="s">
        <v>204</v>
      </c>
      <c r="B33" s="618">
        <f>B31/365</f>
        <v>7.7519999999999998</v>
      </c>
      <c r="C33" s="852"/>
      <c r="D33" s="853"/>
      <c r="E33" s="274"/>
      <c r="F33" s="519"/>
      <c r="G33" s="494"/>
      <c r="H33" s="494"/>
      <c r="I33" s="494"/>
      <c r="J33" s="274"/>
      <c r="K33" s="494"/>
      <c r="L33" s="494"/>
      <c r="M33" s="274"/>
      <c r="N33" s="274"/>
      <c r="O33" s="494"/>
      <c r="P33" s="494"/>
      <c r="Q33" s="494"/>
      <c r="R33" s="494"/>
      <c r="T33" s="274"/>
      <c r="U33" s="274"/>
      <c r="V33" s="274"/>
      <c r="W33" s="274"/>
      <c r="Y33" s="274"/>
      <c r="Z33" s="274"/>
      <c r="AA33" s="274"/>
      <c r="AB33" s="184"/>
      <c r="AM33" s="59"/>
      <c r="AN33" s="59"/>
      <c r="AO33" s="59"/>
      <c r="AP33" s="59"/>
      <c r="AQ33" s="10"/>
      <c r="AR33" s="10"/>
      <c r="AS33" s="10"/>
      <c r="BP33" s="280"/>
      <c r="BQ33" s="280"/>
      <c r="BR33" s="38"/>
      <c r="BW33" s="38"/>
      <c r="BY33" s="38"/>
      <c r="CD33" s="193"/>
      <c r="CI33" s="67"/>
      <c r="CJ33" s="56">
        <f t="shared" si="9"/>
        <v>17</v>
      </c>
      <c r="CK33" s="245">
        <v>4</v>
      </c>
      <c r="CL33" s="245" t="s">
        <v>40</v>
      </c>
      <c r="CM33" s="195">
        <v>1509.2</v>
      </c>
      <c r="CN33" s="269">
        <v>1377.5</v>
      </c>
      <c r="CO33" s="10">
        <v>1480</v>
      </c>
      <c r="CS33" s="247">
        <f t="shared" si="15"/>
        <v>0.08</v>
      </c>
      <c r="CT33" s="150">
        <f t="shared" si="16"/>
        <v>8.0000000000000036E-3</v>
      </c>
      <c r="CX33" s="10">
        <v>48</v>
      </c>
      <c r="CY33" s="194">
        <v>400</v>
      </c>
      <c r="CZ33" s="184">
        <f t="shared" si="10"/>
        <v>19200</v>
      </c>
      <c r="DA33" s="59">
        <v>11558</v>
      </c>
      <c r="DB33" s="56">
        <f t="shared" si="11"/>
        <v>0.60197916666666662</v>
      </c>
      <c r="DD33" s="5">
        <f t="shared" si="12"/>
        <v>5606.4000000000005</v>
      </c>
      <c r="DE33" s="186">
        <f t="shared" si="13"/>
        <v>2.0615724885844746</v>
      </c>
      <c r="DF33" s="193">
        <f t="shared" si="14"/>
        <v>1177.3440000000001</v>
      </c>
      <c r="DG33" s="10">
        <f>DJ33*1.1</f>
        <v>2.0403225806451615</v>
      </c>
      <c r="DH33" s="39"/>
      <c r="DI33" s="530" t="s">
        <v>178</v>
      </c>
      <c r="DJ33" s="532">
        <v>1.8548387096774193</v>
      </c>
      <c r="DK33" s="530">
        <v>1.7451612903225806</v>
      </c>
      <c r="DL33" s="530">
        <v>1.9903225806451614</v>
      </c>
      <c r="DM33" s="530">
        <v>2.5516129032258061</v>
      </c>
      <c r="DN33" s="530">
        <v>3.129032258064516</v>
      </c>
      <c r="DP33" s="532">
        <f>IF($D$8=1,DJ33,IF($D$8=2,DK33,IF($D$8=3,DL33,IF($D$8=4,DM33,DN33))))</f>
        <v>1.9903225806451614</v>
      </c>
      <c r="DT33" s="302">
        <v>5469</v>
      </c>
      <c r="DU33" s="303"/>
      <c r="DV33" s="215">
        <f>IF(AND($B$31="0",$B$12=0),"xxxx",$BO$6/100*($BG$9+$BG$10))</f>
        <v>11.647788819315435</v>
      </c>
      <c r="DW33" s="216"/>
      <c r="DX33" s="225">
        <f>(DV33*DX39)/DV35</f>
        <v>11.647788819315435</v>
      </c>
      <c r="DY33" s="225">
        <f>(DV33*DY39)/DV35</f>
        <v>0</v>
      </c>
      <c r="DZ33" s="225">
        <f>(DV33*DZ39)/DV35</f>
        <v>0</v>
      </c>
      <c r="EA33" s="225">
        <f>(DV33*EA39)/DV35</f>
        <v>0</v>
      </c>
      <c r="EB33" s="218"/>
      <c r="EC33" s="219">
        <f t="shared" si="17"/>
        <v>0.106492</v>
      </c>
      <c r="ED33" s="219">
        <f t="shared" si="17"/>
        <v>0.15851199999999999</v>
      </c>
      <c r="EE33" s="219">
        <f t="shared" si="17"/>
        <v>0.23130200000000001</v>
      </c>
      <c r="EF33" s="219">
        <f t="shared" si="17"/>
        <v>0.23130200000000001</v>
      </c>
      <c r="EL33"/>
      <c r="ER33" s="375" t="s">
        <v>412</v>
      </c>
      <c r="ES33" s="10"/>
      <c r="ET33" s="10"/>
    </row>
    <row r="34" spans="1:150" ht="39.950000000000003" customHeight="1" thickBot="1">
      <c r="A34" s="611" t="s">
        <v>303</v>
      </c>
      <c r="B34" s="592" t="str">
        <f>DGET('gamma celle'!B2:'gamma celle'!O16,'gamma celle'!D2,B$30:B$31)</f>
        <v>400-24</v>
      </c>
      <c r="C34" s="852"/>
      <c r="D34" s="853"/>
      <c r="E34" s="274"/>
      <c r="F34" s="518"/>
      <c r="G34" s="292"/>
      <c r="H34" s="292"/>
      <c r="I34" s="292"/>
      <c r="J34" s="459"/>
      <c r="K34" s="292"/>
      <c r="L34" s="292"/>
      <c r="M34" s="593"/>
      <c r="N34" s="593"/>
      <c r="O34" s="292"/>
      <c r="P34" s="292"/>
      <c r="Q34" s="292"/>
      <c r="R34" s="292"/>
      <c r="T34" s="487"/>
      <c r="U34" s="528"/>
      <c r="V34" s="528"/>
      <c r="W34" s="528"/>
      <c r="Y34" s="459"/>
      <c r="Z34" s="27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L34" s="10"/>
      <c r="AM34" s="10"/>
      <c r="AN34" s="357"/>
      <c r="AO34" s="10"/>
      <c r="AP34" s="10"/>
      <c r="AQ34" s="10"/>
      <c r="AR34" s="10"/>
      <c r="AS34" s="10"/>
      <c r="BR34" s="38"/>
      <c r="BW34" s="38"/>
      <c r="BY34" s="38"/>
      <c r="CD34" s="193"/>
      <c r="CI34" s="67"/>
      <c r="CJ34" s="56">
        <f t="shared" si="9"/>
        <v>18</v>
      </c>
      <c r="CK34" s="245">
        <v>3</v>
      </c>
      <c r="CL34" s="245" t="s">
        <v>41</v>
      </c>
      <c r="CM34" s="195">
        <v>1447.4</v>
      </c>
      <c r="CN34" s="269">
        <v>1427.9</v>
      </c>
      <c r="CO34" s="10">
        <v>1510</v>
      </c>
      <c r="CS34" s="247">
        <f t="shared" si="15"/>
        <v>8.5000000000000006E-2</v>
      </c>
      <c r="CT34" s="150">
        <f t="shared" si="16"/>
        <v>8.5000000000000041E-3</v>
      </c>
      <c r="CZ34" s="184"/>
      <c r="DA34" s="59"/>
      <c r="DB34" s="56"/>
      <c r="DD34" s="5"/>
      <c r="DE34" s="186"/>
      <c r="DF34" s="193"/>
      <c r="DG34" s="367">
        <f t="shared" ref="DG34:DG44" si="18">DJ34*1.1</f>
        <v>2.5653571428571427</v>
      </c>
      <c r="DH34" s="39"/>
      <c r="DI34" s="530" t="s">
        <v>179</v>
      </c>
      <c r="DJ34" s="532">
        <v>2.3321428571428569</v>
      </c>
      <c r="DK34" s="530">
        <v>2.6285714285714286</v>
      </c>
      <c r="DL34" s="530">
        <v>2.8642857142857143</v>
      </c>
      <c r="DM34" s="530">
        <v>3.2821428571428575</v>
      </c>
      <c r="DN34" s="530">
        <v>3.7142857142857144</v>
      </c>
      <c r="DP34" s="532">
        <f t="shared" ref="DP34:DP44" si="19">IF($D$8=1,DJ34,IF($D$8=2,DK34,IF($D$8=3,DL34,IF($D$8=4,DM34,DN34))))</f>
        <v>2.8642857142857143</v>
      </c>
      <c r="DT34" s="304">
        <v>7624</v>
      </c>
      <c r="DU34" s="305"/>
      <c r="DV34" s="215">
        <f>IF(AND($B$31="0",$B$12=0),"xxxx",85/100*($BG$9+$BG$10))</f>
        <v>99.006204964181194</v>
      </c>
      <c r="DW34" s="216"/>
      <c r="DX34" s="225">
        <f>(DV34*DX39)/DV35</f>
        <v>99.006204964181194</v>
      </c>
      <c r="DY34" s="225">
        <f>(DV34*DY39)/DV35</f>
        <v>0</v>
      </c>
      <c r="DZ34" s="225">
        <f>(DV34*DZ39)/DV35</f>
        <v>0</v>
      </c>
      <c r="EA34" s="225">
        <f>(DV34*EA39)/DV35</f>
        <v>0</v>
      </c>
      <c r="EB34" s="218"/>
      <c r="EC34" s="229">
        <f>EC33</f>
        <v>0.106492</v>
      </c>
      <c r="ED34" s="230">
        <f>ED33</f>
        <v>0.15851199999999999</v>
      </c>
      <c r="EE34" s="230">
        <f>EE33</f>
        <v>0.23130200000000001</v>
      </c>
      <c r="EF34" s="231">
        <f>EF33</f>
        <v>0.23130200000000001</v>
      </c>
      <c r="EL34"/>
      <c r="EN34" s="377">
        <f>EN32/ER34</f>
        <v>1.9397260273972603</v>
      </c>
      <c r="EO34" s="377" t="s">
        <v>406</v>
      </c>
      <c r="ER34" s="375">
        <f>365/12</f>
        <v>30.416666666666668</v>
      </c>
      <c r="ES34" s="10"/>
      <c r="ET34" s="10"/>
    </row>
    <row r="35" spans="1:150" ht="39.950000000000003" customHeight="1" thickBot="1">
      <c r="A35" s="611" t="s">
        <v>335</v>
      </c>
      <c r="B35" s="592" t="str">
        <f>DGET('gamma celle'!C2:'gamma celle'!O16,'gamma celle'!E2,B$30:B$31)</f>
        <v>XTM 3500-24</v>
      </c>
      <c r="C35" s="865"/>
      <c r="D35" s="827"/>
      <c r="E35" s="459"/>
      <c r="F35" s="518"/>
      <c r="G35" s="292"/>
      <c r="H35" s="292"/>
      <c r="I35" s="292"/>
      <c r="J35" s="459"/>
      <c r="K35" s="292"/>
      <c r="L35" s="292"/>
      <c r="M35" s="593"/>
      <c r="N35" s="593"/>
      <c r="O35" s="292"/>
      <c r="P35" s="292"/>
      <c r="Q35" s="292"/>
      <c r="R35" s="292"/>
      <c r="T35" s="487"/>
      <c r="U35" s="528"/>
      <c r="V35" s="528"/>
      <c r="W35" s="528"/>
      <c r="Y35" s="459"/>
      <c r="Z35" s="27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L35" s="10"/>
      <c r="AM35" s="10"/>
      <c r="AN35" s="357"/>
      <c r="AO35" s="10"/>
      <c r="AP35" s="10"/>
      <c r="AQ35" s="10"/>
      <c r="AR35" s="10"/>
      <c r="AS35" s="10"/>
      <c r="AY35" s="10"/>
      <c r="BR35" s="38"/>
      <c r="BU35" s="38"/>
      <c r="BW35" s="38"/>
      <c r="CB35" s="193"/>
      <c r="CG35" s="67"/>
      <c r="CJ35" s="56">
        <f t="shared" si="9"/>
        <v>19</v>
      </c>
      <c r="CK35" s="245">
        <v>5</v>
      </c>
      <c r="CL35" s="245" t="s">
        <v>42</v>
      </c>
      <c r="CM35" s="195">
        <v>1633</v>
      </c>
      <c r="CN35" s="269">
        <v>1428.5</v>
      </c>
      <c r="CO35" s="10">
        <v>1620</v>
      </c>
      <c r="CQ35" s="247"/>
      <c r="CS35" s="247">
        <f>CS34+0.5%</f>
        <v>9.0000000000000011E-2</v>
      </c>
      <c r="CT35" s="150">
        <f>CT34+0.05%</f>
        <v>9.0000000000000045E-3</v>
      </c>
      <c r="CV35" s="357"/>
      <c r="CX35" s="10" t="s">
        <v>175</v>
      </c>
      <c r="CY35" s="10">
        <v>900</v>
      </c>
      <c r="CZ35" s="184">
        <v>12</v>
      </c>
      <c r="DA35" s="59">
        <v>1485</v>
      </c>
      <c r="DB35" s="56"/>
      <c r="DE35" s="186"/>
      <c r="DF35" s="193"/>
      <c r="DG35" s="367">
        <f t="shared" si="18"/>
        <v>3.3958064516129038</v>
      </c>
      <c r="DH35" s="357"/>
      <c r="DI35" s="530" t="s">
        <v>180</v>
      </c>
      <c r="DJ35" s="530">
        <v>3.0870967741935487</v>
      </c>
      <c r="DK35" s="530">
        <v>3.774193548387097</v>
      </c>
      <c r="DL35" s="530">
        <v>3.806451612903226</v>
      </c>
      <c r="DM35" s="530">
        <v>3.870967741935484</v>
      </c>
      <c r="DN35" s="530">
        <v>4.5483870967741939</v>
      </c>
      <c r="DP35" s="532">
        <f t="shared" si="19"/>
        <v>3.806451612903226</v>
      </c>
      <c r="DS35" s="38"/>
      <c r="DT35" s="306">
        <f>SUM(DT32:DT34)</f>
        <v>17064</v>
      </c>
      <c r="DU35" s="232">
        <f>SUM(DU32:DU34)</f>
        <v>0</v>
      </c>
      <c r="DV35" s="156">
        <f>IF(SUM(DV32:DV34)=0,0.001,SUM(DV32:DV34))</f>
        <v>116.47788819315434</v>
      </c>
      <c r="DW35" s="155"/>
      <c r="DX35" s="233">
        <f>EC31*EA30</f>
        <v>290.95890410958907</v>
      </c>
      <c r="DY35" s="233">
        <f>ED31*EA30</f>
        <v>426.73972602739724</v>
      </c>
      <c r="DZ35" s="233">
        <f>EE31*EA30</f>
        <v>717.69863013698637</v>
      </c>
      <c r="EA35" s="233"/>
      <c r="EB35" s="234"/>
      <c r="EC35" s="235"/>
      <c r="ED35" s="236"/>
      <c r="EE35" s="236"/>
      <c r="EF35" s="237"/>
      <c r="EL35"/>
      <c r="EN35" s="377">
        <f>EO32/EN34</f>
        <v>60.048628800143128</v>
      </c>
      <c r="EO35" s="377" t="s">
        <v>407</v>
      </c>
      <c r="ES35" s="10"/>
      <c r="ET35" s="10"/>
    </row>
    <row r="36" spans="1:150" ht="39.950000000000003" customHeight="1" thickBot="1">
      <c r="A36" s="25" t="s">
        <v>206</v>
      </c>
      <c r="B36" s="619">
        <f>IF(Redditività!$Q$31="si","xxxxxxx",DGET('gamma celle'!$B$2:'gamma celle'!$L$16,'gamma celle'!$K$2,B$30:B$31))</f>
        <v>5605</v>
      </c>
      <c r="C36" s="866"/>
      <c r="D36" s="827"/>
      <c r="E36" s="459"/>
      <c r="Z36" s="38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L36" s="10"/>
      <c r="AM36" s="10"/>
      <c r="AN36" s="357"/>
      <c r="AO36" s="10"/>
      <c r="AP36" s="10"/>
      <c r="AQ36" s="5"/>
      <c r="AR36" s="5"/>
      <c r="AS36" s="5"/>
      <c r="BA36" s="10"/>
      <c r="BC36" s="197"/>
      <c r="BD36" s="38"/>
      <c r="BE36" s="197"/>
      <c r="BG36" s="188"/>
      <c r="BH36" s="197"/>
      <c r="BN36" s="38"/>
      <c r="BT36" s="38"/>
      <c r="BW36" s="38"/>
      <c r="BY36" s="38"/>
      <c r="CD36" s="193"/>
      <c r="CJ36" s="56">
        <f t="shared" si="9"/>
        <v>20</v>
      </c>
      <c r="CK36" s="245">
        <v>3</v>
      </c>
      <c r="CL36" s="245" t="s">
        <v>43</v>
      </c>
      <c r="CM36" s="195">
        <v>1434</v>
      </c>
      <c r="CN36" s="269">
        <v>1327.2</v>
      </c>
      <c r="CO36" s="10">
        <v>1400</v>
      </c>
      <c r="CS36" s="247">
        <f>CS35+0.5%</f>
        <v>9.5000000000000015E-2</v>
      </c>
      <c r="CT36" s="150">
        <f>CT35+0.05%</f>
        <v>9.500000000000005E-3</v>
      </c>
      <c r="CX36" s="10" t="s">
        <v>140</v>
      </c>
      <c r="CY36" s="10">
        <v>2000</v>
      </c>
      <c r="CZ36" s="184">
        <v>12</v>
      </c>
      <c r="DA36" s="59">
        <v>2626.8</v>
      </c>
      <c r="DB36" s="56"/>
      <c r="DE36" s="186"/>
      <c r="DF36" s="367">
        <v>3.3548387096774195</v>
      </c>
      <c r="DG36" s="367">
        <f>DJ36*1.15</f>
        <v>3.7796666666666665</v>
      </c>
      <c r="DH36" s="39"/>
      <c r="DI36" s="530" t="s">
        <v>181</v>
      </c>
      <c r="DJ36" s="530">
        <v>3.2866666666666666</v>
      </c>
      <c r="DK36" s="530">
        <v>4.0333333333333332</v>
      </c>
      <c r="DL36" s="530">
        <v>4.2666666666666666</v>
      </c>
      <c r="DM36" s="530">
        <v>4.3</v>
      </c>
      <c r="DN36" s="530">
        <v>5</v>
      </c>
      <c r="DP36" s="532">
        <f t="shared" si="19"/>
        <v>4.2666666666666666</v>
      </c>
      <c r="DT36" s="307" t="s">
        <v>273</v>
      </c>
      <c r="DU36" s="308">
        <f>IF($B$31="0",'FOGLIO RACCOLTA DATI DI CONSUMO'!$B$14,IF($BG$20&lt;3000,3,'FOGLIO RACCOLTA DATI DI CONSUMO'!$B$14))</f>
        <v>3</v>
      </c>
      <c r="DV36" s="238"/>
      <c r="DW36" s="216"/>
      <c r="DX36" s="239">
        <f t="shared" ref="DX36:EA38" si="20">DX32*EC32</f>
        <v>0.65933473390616959</v>
      </c>
      <c r="DY36" s="240">
        <f t="shared" si="20"/>
        <v>0</v>
      </c>
      <c r="DZ36" s="240">
        <f t="shared" si="20"/>
        <v>0</v>
      </c>
      <c r="EA36" s="241">
        <f t="shared" si="20"/>
        <v>0</v>
      </c>
      <c r="EB36" s="242">
        <f>SUM(DX36:EA36)</f>
        <v>0.65933473390616959</v>
      </c>
      <c r="EC36" s="243"/>
      <c r="ED36" s="243"/>
      <c r="EE36" s="243"/>
      <c r="EF36" s="244"/>
      <c r="EL36"/>
      <c r="EN36" s="377">
        <f>IF(EN35&gt;370,0,IF(EN35&gt;220,150-(EN35-220),150))</f>
        <v>150</v>
      </c>
      <c r="EO36" s="377" t="s">
        <v>408</v>
      </c>
      <c r="ES36" s="10"/>
      <c r="ET36" s="10"/>
    </row>
    <row r="37" spans="1:150" ht="39.950000000000003" customHeight="1" thickBot="1">
      <c r="A37" s="25" t="s">
        <v>205</v>
      </c>
      <c r="B37" s="619">
        <f>IF(Redditività!$Q$31="si","xxxxxxx",DGET('gamma celle'!$B$2:'gamma celle'!$Q$16,'gamma celle'!$L$2,B$30:B$31))</f>
        <v>2535</v>
      </c>
      <c r="C37" s="866"/>
      <c r="D37" s="827"/>
      <c r="Z37" s="281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L37" s="10"/>
      <c r="AM37" s="5"/>
      <c r="AN37" s="5"/>
      <c r="AO37" s="5"/>
      <c r="AP37" s="5"/>
      <c r="AQ37" s="6"/>
      <c r="AR37" s="6"/>
      <c r="AS37" s="6"/>
      <c r="BN37" s="38"/>
      <c r="BT37" s="38"/>
      <c r="BW37" s="38"/>
      <c r="BY37" s="38"/>
      <c r="CD37" s="193"/>
      <c r="CI37" s="193"/>
      <c r="CJ37" s="56">
        <f t="shared" si="9"/>
        <v>21</v>
      </c>
      <c r="CK37" s="245">
        <v>4</v>
      </c>
      <c r="CL37" s="245" t="s">
        <v>44</v>
      </c>
      <c r="CM37" s="195">
        <v>1513.8</v>
      </c>
      <c r="CN37" s="269">
        <v>1345.5</v>
      </c>
      <c r="CO37" s="10">
        <v>1380</v>
      </c>
      <c r="CS37" s="247">
        <f t="shared" si="15"/>
        <v>0.10000000000000002</v>
      </c>
      <c r="CT37" s="150">
        <f t="shared" si="16"/>
        <v>1.0000000000000005E-2</v>
      </c>
      <c r="CX37" s="10" t="s">
        <v>140</v>
      </c>
      <c r="CY37" s="10">
        <v>3500</v>
      </c>
      <c r="CZ37" s="184">
        <v>24</v>
      </c>
      <c r="DA37" s="59">
        <v>2774.2</v>
      </c>
      <c r="DD37" s="186"/>
      <c r="DE37" s="187"/>
      <c r="DF37" s="367">
        <v>3.8666666666666667</v>
      </c>
      <c r="DG37" s="367">
        <f>DJ37*1</f>
        <v>3.3548387096774195</v>
      </c>
      <c r="DH37" s="39"/>
      <c r="DI37" s="530" t="s">
        <v>182</v>
      </c>
      <c r="DJ37" s="530">
        <v>3.3548387096774195</v>
      </c>
      <c r="DK37" s="530">
        <v>4.32258064516129</v>
      </c>
      <c r="DL37" s="530">
        <v>4.580645161290323</v>
      </c>
      <c r="DM37" s="530">
        <v>4.5161290322580649</v>
      </c>
      <c r="DN37" s="530">
        <v>5.032258064516129</v>
      </c>
      <c r="DP37" s="532">
        <f t="shared" si="19"/>
        <v>4.580645161290323</v>
      </c>
      <c r="DT37" s="309"/>
      <c r="DU37" s="309"/>
      <c r="DV37" s="155"/>
      <c r="DW37" s="216"/>
      <c r="DX37" s="249">
        <f t="shared" si="20"/>
        <v>1.2403963269465395</v>
      </c>
      <c r="DY37" s="250">
        <f t="shared" si="20"/>
        <v>0</v>
      </c>
      <c r="DZ37" s="250">
        <f t="shared" si="20"/>
        <v>0</v>
      </c>
      <c r="EA37" s="251">
        <f t="shared" si="20"/>
        <v>0</v>
      </c>
      <c r="EB37" s="242">
        <f>SUM(DX37:EA37)</f>
        <v>1.2403963269465395</v>
      </c>
      <c r="EC37" s="252" t="s">
        <v>274</v>
      </c>
      <c r="ED37" s="252"/>
      <c r="EE37" s="253" t="s">
        <v>275</v>
      </c>
      <c r="EF37" s="254">
        <f>$EF$17</f>
        <v>42.784799999999997</v>
      </c>
      <c r="EL37"/>
      <c r="EN37" s="377">
        <f>IF(EN35&gt;EN36,EN35-EN36,0)</f>
        <v>0</v>
      </c>
      <c r="EO37" s="377" t="s">
        <v>409</v>
      </c>
      <c r="ES37" s="10"/>
      <c r="ET37" s="10"/>
    </row>
    <row r="38" spans="1:150" ht="39.950000000000003" customHeight="1" thickBot="1">
      <c r="A38" s="25" t="s">
        <v>290</v>
      </c>
      <c r="B38" s="617">
        <v>0</v>
      </c>
      <c r="C38" s="842"/>
      <c r="D38" s="827"/>
      <c r="Z38" s="281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L38" s="10"/>
      <c r="AM38" s="6"/>
      <c r="AN38" s="6"/>
      <c r="AO38" s="6"/>
      <c r="AP38" s="6"/>
      <c r="AQ38" s="6"/>
      <c r="AR38" s="6"/>
      <c r="AS38" s="6"/>
      <c r="BN38" s="38"/>
      <c r="BT38" s="38"/>
      <c r="BW38" s="38"/>
      <c r="BY38" s="38"/>
      <c r="CD38" s="193"/>
      <c r="CI38" s="193"/>
      <c r="CJ38" s="56">
        <f t="shared" si="9"/>
        <v>22</v>
      </c>
      <c r="CK38" s="245">
        <v>5</v>
      </c>
      <c r="CL38" s="245" t="s">
        <v>45</v>
      </c>
      <c r="CM38" s="195">
        <v>1631.5</v>
      </c>
      <c r="CN38" s="269">
        <v>1426.6</v>
      </c>
      <c r="CO38" s="10">
        <v>1590</v>
      </c>
      <c r="CS38" s="247">
        <f t="shared" si="15"/>
        <v>0.10500000000000002</v>
      </c>
      <c r="CT38" s="150">
        <f t="shared" si="16"/>
        <v>1.0500000000000006E-2</v>
      </c>
      <c r="CX38" s="10" t="s">
        <v>140</v>
      </c>
      <c r="CY38" s="10">
        <v>4000</v>
      </c>
      <c r="CZ38" s="184">
        <v>48</v>
      </c>
      <c r="DA38" s="59">
        <v>2894.1</v>
      </c>
      <c r="DD38" s="186"/>
      <c r="DE38" s="187"/>
      <c r="DF38" s="367">
        <v>4.064516129032258</v>
      </c>
      <c r="DG38" s="367">
        <f>DJ38*1.2</f>
        <v>4.6399999999999997</v>
      </c>
      <c r="DH38" s="39"/>
      <c r="DI38" s="530" t="s">
        <v>183</v>
      </c>
      <c r="DJ38" s="530">
        <v>3.8666666666666667</v>
      </c>
      <c r="DK38" s="530">
        <v>4.7666666666666666</v>
      </c>
      <c r="DL38" s="530">
        <v>4.9000000000000004</v>
      </c>
      <c r="DM38" s="530">
        <v>4.8666666666666663</v>
      </c>
      <c r="DN38" s="530">
        <v>5.333333333333333</v>
      </c>
      <c r="DP38" s="532">
        <f t="shared" si="19"/>
        <v>4.9000000000000004</v>
      </c>
      <c r="DT38" s="310" t="s">
        <v>274</v>
      </c>
      <c r="DU38" s="311">
        <f>IF(AND($B$31="0",$B$12=0),"xxxx",EF37*EA30)</f>
        <v>6.9158991780821912</v>
      </c>
      <c r="DV38" s="155"/>
      <c r="DW38" s="216"/>
      <c r="DX38" s="256">
        <f t="shared" si="20"/>
        <v>10.543368779045585</v>
      </c>
      <c r="DY38" s="257">
        <f t="shared" si="20"/>
        <v>0</v>
      </c>
      <c r="DZ38" s="257">
        <f t="shared" si="20"/>
        <v>0</v>
      </c>
      <c r="EA38" s="258">
        <f t="shared" si="20"/>
        <v>0</v>
      </c>
      <c r="EB38" s="242">
        <f>SUM(DX38:EA38)</f>
        <v>10.543368779045585</v>
      </c>
      <c r="EC38" s="830" t="s">
        <v>276</v>
      </c>
      <c r="ED38" s="830"/>
      <c r="EE38" s="253" t="s">
        <v>277</v>
      </c>
      <c r="EF38" s="254">
        <f>$EF$18</f>
        <v>10.055999999999999</v>
      </c>
      <c r="EL38"/>
      <c r="ES38" s="10"/>
      <c r="ET38" s="10"/>
    </row>
    <row r="39" spans="1:150" ht="39.950000000000003" customHeight="1" thickBot="1">
      <c r="A39" s="25" t="s">
        <v>291</v>
      </c>
      <c r="B39" s="619">
        <f>IF(Redditività!$Q$31="si","xxxxxxx",DGET('gamma celle'!$B$2:'gamma celle'!$Q$16,'gamma celle'!$Q$2,B$30:B$31)+IF($B$31="0",0,$B$38))</f>
        <v>8140</v>
      </c>
      <c r="C39" s="843"/>
      <c r="D39" s="827"/>
      <c r="Z39" s="281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L39" s="10"/>
      <c r="AM39" s="6"/>
      <c r="AN39" s="6"/>
      <c r="AO39" s="6"/>
      <c r="AP39" s="6"/>
      <c r="AQ39" s="6"/>
      <c r="AR39" s="6"/>
      <c r="AS39" s="6"/>
      <c r="BT39" s="38"/>
      <c r="BW39" s="38"/>
      <c r="BY39" s="38"/>
      <c r="CD39" s="193"/>
      <c r="CJ39" s="56">
        <f t="shared" si="9"/>
        <v>23</v>
      </c>
      <c r="CK39" s="245">
        <v>4</v>
      </c>
      <c r="CL39" s="245" t="s">
        <v>46</v>
      </c>
      <c r="CM39" s="195">
        <v>1466.6</v>
      </c>
      <c r="CN39" s="269">
        <v>1376</v>
      </c>
      <c r="CO39" s="10">
        <v>1450</v>
      </c>
      <c r="CS39" s="247">
        <f t="shared" si="15"/>
        <v>0.11000000000000003</v>
      </c>
      <c r="CT39" s="150">
        <f t="shared" si="16"/>
        <v>1.1000000000000006E-2</v>
      </c>
      <c r="CX39" s="10" t="s">
        <v>141</v>
      </c>
      <c r="CY39" s="10">
        <v>5000</v>
      </c>
      <c r="CZ39" s="184">
        <v>24</v>
      </c>
      <c r="DA39" s="59">
        <v>4314.2</v>
      </c>
      <c r="DD39" s="186"/>
      <c r="DE39" s="193"/>
      <c r="DF39" s="367">
        <v>3.774193548387097</v>
      </c>
      <c r="DG39" s="367">
        <f>DJ39*1.2</f>
        <v>4.8774193548387093</v>
      </c>
      <c r="DH39" s="39"/>
      <c r="DI39" s="530" t="s">
        <v>184</v>
      </c>
      <c r="DJ39" s="530">
        <v>4.064516129032258</v>
      </c>
      <c r="DK39" s="530">
        <v>4.935483870967742</v>
      </c>
      <c r="DL39" s="530">
        <v>5.064516129032258</v>
      </c>
      <c r="DM39" s="530">
        <v>5.096774193548387</v>
      </c>
      <c r="DN39" s="530">
        <v>5.4516129032258061</v>
      </c>
      <c r="DP39" s="532">
        <f t="shared" si="19"/>
        <v>5.064516129032258</v>
      </c>
      <c r="DT39" s="310" t="s">
        <v>276</v>
      </c>
      <c r="DU39" s="311">
        <f>IF(AND($B$31="0",$B$12=0),"xxxx",(EF38*EA30)*DU36)</f>
        <v>4.8764712328767121</v>
      </c>
      <c r="DV39" s="155"/>
      <c r="DW39" s="155"/>
      <c r="DX39" s="233">
        <f>IF((DV35&lt;DX35),DV35,DX35)</f>
        <v>116.47788819315434</v>
      </c>
      <c r="DY39" s="233">
        <f>IF((DV35&lt;DY35),(DV35-DX39),(DY35-DX35))</f>
        <v>0</v>
      </c>
      <c r="DZ39" s="233">
        <f>IF((DV35&lt;DZ35),(DV35-SUM(DX39:DY39)),(DZ35-SUM(DX39:DY39)))</f>
        <v>0</v>
      </c>
      <c r="EA39" s="233">
        <f>IF((DV35&lt;DZ35),0,(DV35-SUM(DX39:DZ39)))</f>
        <v>0</v>
      </c>
      <c r="EB39" s="260">
        <f>SUM(EB36:EB38)</f>
        <v>12.443099839898293</v>
      </c>
      <c r="EC39" s="834" t="s">
        <v>278</v>
      </c>
      <c r="ED39" s="830"/>
      <c r="EE39" s="253" t="s">
        <v>279</v>
      </c>
      <c r="EF39" s="254">
        <v>2.2700000000000001E-2</v>
      </c>
      <c r="EL39"/>
      <c r="EM39" s="386" t="s">
        <v>410</v>
      </c>
      <c r="EN39" s="387"/>
      <c r="EO39" s="387"/>
      <c r="EP39" s="387"/>
      <c r="ES39" s="10"/>
      <c r="ET39" s="10"/>
    </row>
    <row r="40" spans="1:150" ht="39.950000000000003" customHeight="1" thickBot="1">
      <c r="A40" s="25" t="s">
        <v>350</v>
      </c>
      <c r="B40" s="620">
        <f>DGET('gamma celle'!B2:'gamma celle'!Q16,'gamma celle'!O2,B$30:B$31)</f>
        <v>54264</v>
      </c>
      <c r="C40" s="843"/>
      <c r="D40" s="827"/>
      <c r="E40" s="38"/>
      <c r="F40" s="628"/>
      <c r="J40" s="629"/>
      <c r="M40" s="629"/>
      <c r="N40" s="629"/>
      <c r="Z40" s="281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L40" s="10"/>
      <c r="AM40" s="6"/>
      <c r="AN40" s="6"/>
      <c r="AO40" s="6"/>
      <c r="AP40" s="6"/>
      <c r="AQ40" s="171"/>
      <c r="AR40" s="171"/>
      <c r="AS40" s="171"/>
      <c r="BT40" s="38"/>
      <c r="BW40" s="38"/>
      <c r="BY40" s="38"/>
      <c r="CD40" s="193"/>
      <c r="CJ40" s="56">
        <f t="shared" si="9"/>
        <v>24</v>
      </c>
      <c r="CK40" s="245">
        <v>3</v>
      </c>
      <c r="CL40" s="245" t="s">
        <v>47</v>
      </c>
      <c r="CM40" s="195">
        <v>1399.2</v>
      </c>
      <c r="CN40" s="196">
        <v>1311.2</v>
      </c>
      <c r="CO40" s="10">
        <v>1380</v>
      </c>
      <c r="CS40" s="247">
        <f t="shared" si="15"/>
        <v>0.11500000000000003</v>
      </c>
      <c r="CT40" s="150">
        <f t="shared" si="16"/>
        <v>1.1500000000000007E-2</v>
      </c>
      <c r="CX40" s="10" t="s">
        <v>141</v>
      </c>
      <c r="CY40" s="10">
        <v>6000</v>
      </c>
      <c r="CZ40" s="184">
        <v>48</v>
      </c>
      <c r="DA40" s="59">
        <v>4860.8999999999996</v>
      </c>
      <c r="DD40" s="186"/>
      <c r="DE40" s="193"/>
      <c r="DF40" s="367">
        <v>3.2866666666666666</v>
      </c>
      <c r="DG40" s="367">
        <f>DJ40*1.2</f>
        <v>4.5290322580645164</v>
      </c>
      <c r="DH40" s="39"/>
      <c r="DI40" s="530" t="s">
        <v>185</v>
      </c>
      <c r="DJ40" s="530">
        <v>3.774193548387097</v>
      </c>
      <c r="DK40" s="530">
        <v>4.5161290322580649</v>
      </c>
      <c r="DL40" s="530">
        <v>4.838709677419355</v>
      </c>
      <c r="DM40" s="530">
        <v>5.032258064516129</v>
      </c>
      <c r="DN40" s="530">
        <v>5.258064516129032</v>
      </c>
      <c r="DP40" s="532">
        <f t="shared" si="19"/>
        <v>4.838709677419355</v>
      </c>
      <c r="DT40" s="310" t="s">
        <v>278</v>
      </c>
      <c r="DU40" s="311">
        <f>IF(AND($B$31="0",$B$12=0),"xxxx",EF39*EN40)</f>
        <v>0</v>
      </c>
      <c r="DV40" s="155"/>
      <c r="DW40" s="216"/>
      <c r="DX40" s="261">
        <f>DX39*EC35</f>
        <v>0</v>
      </c>
      <c r="DY40" s="262">
        <f>DY39*ED35</f>
        <v>0</v>
      </c>
      <c r="DZ40" s="262">
        <f>DZ39*EE35</f>
        <v>0</v>
      </c>
      <c r="EA40" s="263">
        <f>EA39*EF35</f>
        <v>0</v>
      </c>
      <c r="EB40" s="242">
        <f>SUM(DX40:EA40)</f>
        <v>0</v>
      </c>
      <c r="EC40" s="830" t="s">
        <v>280</v>
      </c>
      <c r="ED40" s="830"/>
      <c r="EE40" s="253" t="s">
        <v>279</v>
      </c>
      <c r="EF40" s="254">
        <v>0</v>
      </c>
      <c r="EL40"/>
      <c r="EN40" s="388">
        <f>EN37*EN34</f>
        <v>0</v>
      </c>
      <c r="EO40" s="388"/>
      <c r="EP40" s="383"/>
      <c r="EQ40" s="10"/>
      <c r="ER40" s="10"/>
      <c r="ES40" s="10"/>
      <c r="ET40" s="10"/>
    </row>
    <row r="41" spans="1:150" ht="39.950000000000003" customHeight="1" thickBot="1">
      <c r="A41" s="45" t="s">
        <v>352</v>
      </c>
      <c r="B41" s="619">
        <f>(DGET('gamma celle'!$B$2:'gamma celle'!$Q$16,'gamma celle'!$Q$2,B$30:B$31)+IF($B$31="0",0,$B$38))/IF($B$31="0",1,$B$40)</f>
        <v>0.15000737136960046</v>
      </c>
      <c r="C41" s="842" t="s">
        <v>359</v>
      </c>
      <c r="D41" s="827"/>
      <c r="E41" s="38"/>
      <c r="F41" s="628"/>
      <c r="J41" s="629"/>
      <c r="M41" s="629"/>
      <c r="N41" s="629"/>
      <c r="Q41" s="198"/>
      <c r="R41" s="198"/>
      <c r="T41" s="38"/>
      <c r="U41" s="38"/>
      <c r="V41" s="38"/>
      <c r="W41" s="38"/>
      <c r="Y41" s="38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L41" s="10"/>
      <c r="AM41" s="171"/>
      <c r="AN41" s="171"/>
      <c r="AO41" s="171"/>
      <c r="AP41" s="171"/>
      <c r="AQ41" s="171"/>
      <c r="AR41" s="171"/>
      <c r="AS41" s="171"/>
      <c r="BT41" s="38"/>
      <c r="BW41" s="38"/>
      <c r="BY41" s="38"/>
      <c r="CD41" s="193"/>
      <c r="CJ41" s="56">
        <f t="shared" si="9"/>
        <v>25</v>
      </c>
      <c r="CK41" s="245">
        <v>1</v>
      </c>
      <c r="CL41" s="245" t="s">
        <v>48</v>
      </c>
      <c r="CM41" s="195">
        <v>1150.4000000000001</v>
      </c>
      <c r="CN41" s="196">
        <v>1219.2</v>
      </c>
      <c r="CO41" s="10">
        <v>1190</v>
      </c>
      <c r="CS41" s="247">
        <f t="shared" si="15"/>
        <v>0.12000000000000004</v>
      </c>
      <c r="CT41" s="150">
        <f t="shared" si="16"/>
        <v>1.2000000000000007E-2</v>
      </c>
      <c r="CX41" s="10" t="s">
        <v>141</v>
      </c>
      <c r="CY41" s="10">
        <v>8000</v>
      </c>
      <c r="CZ41" s="184">
        <v>48</v>
      </c>
      <c r="DA41" s="59">
        <v>5991.7</v>
      </c>
      <c r="DD41" s="186"/>
      <c r="DE41" s="193"/>
      <c r="DG41" s="367">
        <f>DJ41*1</f>
        <v>3.2866666666666666</v>
      </c>
      <c r="DH41" s="39"/>
      <c r="DI41" s="530" t="s">
        <v>186</v>
      </c>
      <c r="DJ41" s="530">
        <v>3.2866666666666666</v>
      </c>
      <c r="DK41" s="530">
        <v>4.0666666666666664</v>
      </c>
      <c r="DL41" s="530">
        <v>4.2333333333333334</v>
      </c>
      <c r="DM41" s="530">
        <v>4.333333333333333</v>
      </c>
      <c r="DN41" s="530">
        <v>4.666666666666667</v>
      </c>
      <c r="DP41" s="532">
        <f t="shared" si="19"/>
        <v>4.2333333333333334</v>
      </c>
      <c r="DT41" s="310" t="s">
        <v>281</v>
      </c>
      <c r="DU41" s="311">
        <f>IF(AND($B$31="0",$B$12=0),"xxxx",EF40*DV35)</f>
        <v>0</v>
      </c>
      <c r="DV41" s="266"/>
      <c r="DW41" s="266"/>
      <c r="DX41" s="267"/>
      <c r="DY41" s="267"/>
      <c r="DZ41" s="268"/>
      <c r="EA41" s="268"/>
      <c r="EB41" s="155"/>
      <c r="EL41"/>
      <c r="EP41" s="38"/>
      <c r="EQ41" s="10"/>
      <c r="ER41" s="10"/>
      <c r="ES41" s="10"/>
      <c r="ET41" s="10"/>
    </row>
    <row r="42" spans="1:150" ht="39.950000000000003" customHeight="1" thickBot="1">
      <c r="A42" s="63"/>
      <c r="B42" s="594" t="s">
        <v>469</v>
      </c>
      <c r="C42" s="66"/>
      <c r="D42" s="591"/>
      <c r="F42" s="628"/>
      <c r="J42" s="629"/>
      <c r="M42" s="629"/>
      <c r="N42" s="629"/>
      <c r="Q42" s="198"/>
      <c r="R42" s="198"/>
      <c r="T42" s="38"/>
      <c r="U42" s="38"/>
      <c r="V42" s="38"/>
      <c r="W42" s="38"/>
      <c r="Y42" s="38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L42" s="10"/>
      <c r="AM42" s="171"/>
      <c r="AN42" s="171"/>
      <c r="AO42" s="171"/>
      <c r="AP42" s="171"/>
      <c r="AQ42" s="171"/>
      <c r="AR42" s="171"/>
      <c r="AS42" s="171"/>
      <c r="BT42" s="38"/>
      <c r="BW42" s="38"/>
      <c r="BY42" s="38"/>
      <c r="CD42" s="193"/>
      <c r="CJ42" s="56">
        <f t="shared" si="9"/>
        <v>26</v>
      </c>
      <c r="CK42" s="245">
        <v>5</v>
      </c>
      <c r="CL42" s="245" t="s">
        <v>49</v>
      </c>
      <c r="CM42" s="195">
        <v>1672.4</v>
      </c>
      <c r="CN42" s="196">
        <v>1364</v>
      </c>
      <c r="CO42" s="10">
        <v>1480</v>
      </c>
      <c r="CS42" s="247">
        <f t="shared" si="15"/>
        <v>0.12500000000000003</v>
      </c>
      <c r="CT42" s="150">
        <f t="shared" si="16"/>
        <v>1.2500000000000008E-2</v>
      </c>
      <c r="DG42" s="367">
        <f t="shared" si="18"/>
        <v>2.6435483870967746</v>
      </c>
      <c r="DH42" s="38"/>
      <c r="DI42" s="530" t="s">
        <v>187</v>
      </c>
      <c r="DJ42" s="530">
        <v>2.403225806451613</v>
      </c>
      <c r="DK42" s="530">
        <v>2.9129032258064513</v>
      </c>
      <c r="DL42" s="530">
        <v>3.161290322580645</v>
      </c>
      <c r="DM42" s="530">
        <v>3.6774193548387095</v>
      </c>
      <c r="DN42" s="530">
        <v>4.161290322580645</v>
      </c>
      <c r="DP42" s="532">
        <f t="shared" si="19"/>
        <v>3.161290322580645</v>
      </c>
      <c r="DT42" s="310" t="s">
        <v>282</v>
      </c>
      <c r="DU42" s="312">
        <f>IF(AND($B$31="0",$B$12=0),"xxxx",IF((DV42="Bioraria"),EB39,EB40))</f>
        <v>12.443099839898293</v>
      </c>
      <c r="DV42" s="858" t="s">
        <v>283</v>
      </c>
      <c r="DW42" s="859"/>
      <c r="DX42" s="270" t="s">
        <v>284</v>
      </c>
      <c r="DY42" s="216"/>
      <c r="DZ42" s="860" t="s">
        <v>285</v>
      </c>
      <c r="EA42" s="861"/>
      <c r="EB42" s="271"/>
      <c r="EL42"/>
      <c r="EP42" s="38"/>
      <c r="EQ42" s="10"/>
      <c r="ER42" s="10"/>
      <c r="ES42" s="10"/>
      <c r="ET42" s="10"/>
    </row>
    <row r="43" spans="1:150" ht="12" customHeight="1" thickBot="1">
      <c r="A43" s="63"/>
      <c r="B43" s="194"/>
      <c r="C43" s="194"/>
      <c r="Q43" s="198"/>
      <c r="R43" s="198"/>
      <c r="T43" s="38"/>
      <c r="U43"/>
      <c r="AB43" s="197"/>
      <c r="AC43" s="194"/>
      <c r="AD43" s="194"/>
      <c r="AE43" s="194"/>
      <c r="AF43" s="194"/>
      <c r="AG43" s="194"/>
      <c r="AH43" s="194"/>
      <c r="AI43" s="194"/>
      <c r="AJ43" s="194"/>
      <c r="AL43" s="10"/>
      <c r="AM43" s="171"/>
      <c r="AN43" s="368"/>
      <c r="AO43" s="171"/>
      <c r="AP43" s="171"/>
      <c r="AQ43" s="171"/>
      <c r="AR43" s="171"/>
      <c r="AS43" s="171"/>
      <c r="BT43" s="38"/>
      <c r="BW43" s="38"/>
      <c r="BY43" s="38"/>
      <c r="CD43" s="193"/>
      <c r="CJ43" s="56">
        <f>CJ42+1</f>
        <v>27</v>
      </c>
      <c r="CK43" s="245">
        <v>2</v>
      </c>
      <c r="CL43" s="245" t="s">
        <v>50</v>
      </c>
      <c r="CM43" s="195">
        <v>1192.4000000000001</v>
      </c>
      <c r="CN43" s="196">
        <v>1264.4000000000001</v>
      </c>
      <c r="CO43" s="10">
        <v>1190</v>
      </c>
      <c r="CT43" s="150">
        <f>CT42+0.05%</f>
        <v>1.3000000000000008E-2</v>
      </c>
      <c r="DG43" s="367">
        <f t="shared" si="18"/>
        <v>2.0606666666666671</v>
      </c>
      <c r="DH43" s="38"/>
      <c r="DI43" s="530" t="s">
        <v>188</v>
      </c>
      <c r="DJ43" s="530">
        <v>1.8733333333333335</v>
      </c>
      <c r="DK43" s="530">
        <v>2.2866666666666666</v>
      </c>
      <c r="DL43" s="530">
        <v>2.2000000000000002</v>
      </c>
      <c r="DM43" s="530">
        <v>2.7</v>
      </c>
      <c r="DN43" s="530">
        <v>3.4333333333333331</v>
      </c>
      <c r="DP43" s="532">
        <f t="shared" si="19"/>
        <v>2.2000000000000002</v>
      </c>
      <c r="DT43" s="310" t="s">
        <v>287</v>
      </c>
      <c r="DU43" s="311">
        <f>IF(AND($B$31="0",$B$12=0),'FOGLIO RACCOLTA DATI DI CONSUMO'!B18/1.1,SUM(DU38:DU42))</f>
        <v>24.235470250857198</v>
      </c>
      <c r="DV43" s="248"/>
      <c r="DW43" s="248"/>
      <c r="DX43" s="272">
        <v>0.1</v>
      </c>
      <c r="DY43" s="216"/>
      <c r="DZ43" s="863">
        <f>DU43*(1+DX43)</f>
        <v>26.659017275942919</v>
      </c>
      <c r="EA43" s="864"/>
      <c r="EB43" s="271"/>
      <c r="EL43"/>
      <c r="EP43" s="38"/>
      <c r="EQ43" s="10"/>
      <c r="ER43" s="10"/>
      <c r="ES43" s="10"/>
      <c r="ET43" s="10"/>
    </row>
    <row r="44" spans="1:150" ht="24.95" customHeight="1" thickBot="1">
      <c r="A44" s="63"/>
      <c r="B44" s="194" t="s">
        <v>469</v>
      </c>
      <c r="C44" s="194"/>
      <c r="F44" s="628"/>
      <c r="J44" s="629"/>
      <c r="M44" s="629"/>
      <c r="N44" s="629"/>
      <c r="U44"/>
      <c r="AB44" s="197"/>
      <c r="AC44" s="194"/>
      <c r="AD44" s="194"/>
      <c r="AE44" s="194"/>
      <c r="AF44" s="194"/>
      <c r="AG44" s="194"/>
      <c r="AH44" s="194"/>
      <c r="AI44" s="194"/>
      <c r="AJ44" s="194"/>
      <c r="BM44" s="10"/>
      <c r="BQ44" s="38"/>
      <c r="BT44" s="38"/>
      <c r="BV44" s="38"/>
      <c r="CA44" s="193"/>
      <c r="CD44" s="456"/>
      <c r="CE44" s="456"/>
      <c r="CF44" s="456"/>
      <c r="CG44" s="456"/>
      <c r="CJ44" s="56">
        <f>CJ43+1</f>
        <v>28</v>
      </c>
      <c r="CK44" s="245">
        <v>4</v>
      </c>
      <c r="CL44" s="245" t="s">
        <v>51</v>
      </c>
      <c r="CM44" s="195">
        <v>1493.5</v>
      </c>
      <c r="CN44" s="196">
        <v>1364</v>
      </c>
      <c r="CO44" s="10">
        <v>1470</v>
      </c>
      <c r="DC44" s="451"/>
      <c r="DD44" s="451"/>
      <c r="DE44" s="451"/>
      <c r="DG44" s="367">
        <f t="shared" si="18"/>
        <v>1.7706451612903227</v>
      </c>
      <c r="DH44" s="38"/>
      <c r="DI44" s="530" t="s">
        <v>189</v>
      </c>
      <c r="DJ44" s="530">
        <v>1.6096774193548387</v>
      </c>
      <c r="DK44" s="530">
        <v>1.8129032258064517</v>
      </c>
      <c r="DL44" s="530">
        <v>1.8870967741935485</v>
      </c>
      <c r="DM44" s="530">
        <v>2.4290322580645158</v>
      </c>
      <c r="DN44" s="530">
        <v>2.870967741935484</v>
      </c>
      <c r="DP44" s="532">
        <f t="shared" si="19"/>
        <v>1.8870967741935485</v>
      </c>
      <c r="DT44" s="296"/>
      <c r="DU44" s="296"/>
      <c r="DV44" s="202"/>
      <c r="DW44" s="202"/>
      <c r="DX44" s="202"/>
      <c r="DY44" s="202"/>
      <c r="DZ44" s="203"/>
      <c r="EA44" s="203"/>
      <c r="EB44" s="202"/>
      <c r="EL44"/>
      <c r="EP44" s="38"/>
      <c r="EQ44" s="10"/>
      <c r="ER44" s="10"/>
      <c r="ES44" s="10"/>
      <c r="ET44" s="10"/>
    </row>
    <row r="45" spans="1:150" s="57" customFormat="1" ht="21.95" customHeight="1" thickTop="1" thickBot="1">
      <c r="A45" s="501"/>
      <c r="B45" s="502"/>
      <c r="C45" s="502"/>
      <c r="E45" s="458"/>
      <c r="F45" s="520"/>
      <c r="G45" s="198"/>
      <c r="H45" s="198"/>
      <c r="I45" s="56"/>
      <c r="J45" s="38"/>
      <c r="K45" s="56"/>
      <c r="L45" s="198"/>
      <c r="M45" s="38"/>
      <c r="N45" s="38"/>
      <c r="O45" s="198"/>
      <c r="P45" s="198"/>
      <c r="Q45" s="498"/>
      <c r="R45" s="56"/>
      <c r="S45"/>
      <c r="T45" s="867" t="s">
        <v>435</v>
      </c>
      <c r="U45" s="867" t="s">
        <v>436</v>
      </c>
      <c r="V45" s="504"/>
      <c r="W45" s="504"/>
      <c r="Y45" s="506"/>
      <c r="AB45" s="507"/>
      <c r="AL45" s="508"/>
      <c r="AM45" s="508"/>
      <c r="AN45" s="508"/>
      <c r="AO45" s="508"/>
      <c r="AP45" s="508"/>
      <c r="AQ45" s="508"/>
      <c r="AR45" s="508"/>
      <c r="AS45" s="508"/>
      <c r="AU45" s="504"/>
      <c r="AV45" s="504"/>
      <c r="AW45" s="504"/>
      <c r="AX45" s="504"/>
      <c r="AY45" s="504"/>
      <c r="AZ45" s="10"/>
      <c r="BA45" s="193"/>
      <c r="BB45" s="10"/>
      <c r="BC45" s="197"/>
      <c r="BD45" s="197"/>
      <c r="BE45" s="10"/>
      <c r="BF45" s="10"/>
      <c r="BG45"/>
      <c r="BH45" s="10"/>
      <c r="BI45" s="10"/>
      <c r="BJ45" s="382"/>
      <c r="BK45" s="10"/>
      <c r="BL45" s="10"/>
      <c r="BP45" s="506"/>
      <c r="BQ45" s="509"/>
      <c r="BT45" s="509"/>
      <c r="BV45" s="509"/>
      <c r="CJ45" s="499">
        <f t="shared" ref="CJ45:CJ56" si="21">CJ44+1</f>
        <v>29</v>
      </c>
      <c r="CK45" s="510">
        <v>1</v>
      </c>
      <c r="CL45" s="510" t="s">
        <v>52</v>
      </c>
      <c r="CM45" s="511">
        <v>1111.7</v>
      </c>
      <c r="CN45" s="512">
        <v>1252.5999999999999</v>
      </c>
      <c r="CO45" s="57">
        <v>1250</v>
      </c>
      <c r="DE45" s="509"/>
      <c r="DF45" s="509"/>
      <c r="DG45" s="509"/>
      <c r="DH45" s="509"/>
      <c r="DI45" s="536"/>
      <c r="DJ45" s="536">
        <v>1059.3</v>
      </c>
      <c r="DK45" s="536">
        <v>1272.8</v>
      </c>
      <c r="DL45" s="536">
        <v>1333</v>
      </c>
      <c r="DM45" s="536">
        <v>1420.3</v>
      </c>
      <c r="DN45" s="536">
        <v>1601</v>
      </c>
      <c r="DO45" s="536"/>
      <c r="DP45" s="537">
        <f>IF($D$8=1,DJ45,IF($D$8=2,DK45,IF($D$8=3,DL45,IF($D$8=4,DM45,DN45))))</f>
        <v>1333</v>
      </c>
      <c r="DQ45" s="513"/>
      <c r="DR45" s="513"/>
      <c r="DS45" s="513"/>
      <c r="DW45" s="862" t="s">
        <v>288</v>
      </c>
      <c r="DX45" s="862"/>
      <c r="DY45" s="514"/>
      <c r="DZ45" s="514"/>
      <c r="EA45" s="514"/>
      <c r="EB45" s="514"/>
      <c r="EC45" s="868">
        <f>DZ43</f>
        <v>26.659017275942919</v>
      </c>
      <c r="ED45" s="868"/>
      <c r="EE45" s="514"/>
      <c r="EF45" s="514"/>
      <c r="EG45" s="514"/>
      <c r="EH45" s="514"/>
      <c r="EI45" s="514"/>
      <c r="EO45" s="414"/>
      <c r="EP45" s="515"/>
      <c r="EQ45" s="515"/>
      <c r="ER45" s="515"/>
      <c r="ES45" s="509"/>
    </row>
    <row r="46" spans="1:150" ht="30" customHeight="1" thickTop="1">
      <c r="A46" s="63"/>
      <c r="B46" s="194" t="s">
        <v>469</v>
      </c>
      <c r="C46" s="194"/>
      <c r="E46" s="57"/>
      <c r="F46" s="520"/>
      <c r="G46" s="198"/>
      <c r="H46" s="198"/>
      <c r="J46" s="38"/>
      <c r="L46" s="198"/>
      <c r="M46" s="38"/>
      <c r="N46" s="38"/>
      <c r="O46" s="839" t="s">
        <v>465</v>
      </c>
      <c r="P46" s="198"/>
      <c r="Q46" s="503"/>
      <c r="R46" s="505" t="s">
        <v>445</v>
      </c>
      <c r="S46" s="414"/>
      <c r="T46" s="867"/>
      <c r="U46" s="867"/>
      <c r="V46" s="488"/>
      <c r="W46" s="488"/>
      <c r="Y46" s="461"/>
      <c r="AB46" s="197"/>
      <c r="AZ46" s="57"/>
      <c r="BA46" s="506"/>
      <c r="BB46" s="57"/>
      <c r="BC46" s="507"/>
      <c r="BD46" s="507"/>
      <c r="BE46" s="57"/>
      <c r="BF46" s="57"/>
      <c r="BG46" s="414"/>
      <c r="BH46" s="57"/>
      <c r="BI46" s="57"/>
      <c r="BJ46" s="57"/>
      <c r="BK46" s="57"/>
      <c r="BL46" s="57"/>
      <c r="BM46" s="10"/>
      <c r="BP46" s="193"/>
      <c r="BQ46" s="38"/>
      <c r="BT46" s="38"/>
      <c r="BV46" s="38"/>
      <c r="CD46" s="456"/>
      <c r="CE46" s="456"/>
      <c r="CF46" s="456"/>
      <c r="CG46" s="456"/>
      <c r="CJ46" s="56">
        <f>CJ45+1</f>
        <v>30</v>
      </c>
      <c r="CK46" s="245">
        <v>5</v>
      </c>
      <c r="CL46" s="245" t="s">
        <v>53</v>
      </c>
      <c r="CM46" s="195">
        <v>1651</v>
      </c>
      <c r="CN46" s="196">
        <v>1421.6</v>
      </c>
      <c r="CO46" s="10">
        <v>1620</v>
      </c>
      <c r="DM46" s="532"/>
      <c r="DN46" s="532"/>
      <c r="DO46" s="532"/>
      <c r="DP46" s="532"/>
      <c r="DT46" s="313"/>
      <c r="DU46" s="313"/>
      <c r="DV46" s="206"/>
      <c r="DW46" s="206"/>
      <c r="DX46" s="206"/>
      <c r="DY46" s="206"/>
      <c r="DZ46" s="206"/>
      <c r="EA46" s="206"/>
      <c r="EB46" s="206"/>
      <c r="EC46" s="206"/>
      <c r="ED46" s="206"/>
      <c r="EE46" s="275"/>
      <c r="EF46" s="276"/>
      <c r="EL46"/>
      <c r="EP46" s="38"/>
      <c r="EQ46" s="10"/>
      <c r="ER46" s="10"/>
      <c r="ES46" s="10"/>
      <c r="ET46" s="10"/>
    </row>
    <row r="47" spans="1:150" ht="24.95" customHeight="1" thickBot="1">
      <c r="A47" s="63"/>
      <c r="B47" s="194"/>
      <c r="C47" s="194"/>
      <c r="F47" s="520"/>
      <c r="G47" s="198"/>
      <c r="H47" s="198"/>
      <c r="I47" s="198"/>
      <c r="J47" s="38"/>
      <c r="K47" s="198"/>
      <c r="L47" s="198"/>
      <c r="M47" s="38"/>
      <c r="N47" s="38"/>
      <c r="O47" s="840"/>
      <c r="P47" s="198"/>
      <c r="Q47" s="495"/>
      <c r="R47" s="558">
        <v>0.2</v>
      </c>
      <c r="T47" s="488">
        <v>1.1000000000000001</v>
      </c>
      <c r="U47" s="488">
        <v>1</v>
      </c>
      <c r="V47" s="488"/>
      <c r="W47" s="488"/>
      <c r="Y47" s="461"/>
      <c r="AB47" s="197"/>
      <c r="BC47" s="197"/>
      <c r="BF47" s="10"/>
      <c r="BG47"/>
      <c r="BJ47" s="382"/>
      <c r="BM47" s="10"/>
      <c r="BP47" s="193"/>
      <c r="BQ47" s="38"/>
      <c r="BT47" s="38"/>
      <c r="BV47" s="38"/>
      <c r="CD47" s="456"/>
      <c r="CE47" s="456"/>
      <c r="CF47" s="456"/>
      <c r="CG47" s="456"/>
      <c r="CJ47" s="56">
        <f>CJ46+1</f>
        <v>31</v>
      </c>
      <c r="CK47" s="245">
        <v>2</v>
      </c>
      <c r="CL47" s="245" t="s">
        <v>54</v>
      </c>
      <c r="CM47" s="195">
        <v>1228.9000000000001</v>
      </c>
      <c r="CN47" s="196">
        <v>1270.8</v>
      </c>
      <c r="CO47" s="10">
        <v>1190</v>
      </c>
      <c r="DL47" s="531"/>
      <c r="DM47" s="532"/>
      <c r="DN47" s="532"/>
      <c r="DO47" s="532"/>
      <c r="DP47" s="532"/>
      <c r="EL47"/>
      <c r="EP47" s="38"/>
      <c r="EQ47" s="10"/>
      <c r="ER47" s="10"/>
      <c r="ES47" s="10"/>
      <c r="ET47" s="10"/>
    </row>
    <row r="48" spans="1:150" ht="39.950000000000003" customHeight="1" thickTop="1" thickBot="1">
      <c r="A48" s="63"/>
      <c r="B48" s="194"/>
      <c r="C48" s="194"/>
      <c r="G48" s="490"/>
      <c r="H48" s="837" t="s">
        <v>437</v>
      </c>
      <c r="I48" s="838"/>
      <c r="J48" s="838"/>
      <c r="K48" s="838"/>
      <c r="L48" s="838"/>
      <c r="M48" s="838"/>
      <c r="N48" s="838"/>
      <c r="O48" s="841"/>
      <c r="Q48" s="495"/>
      <c r="R48" s="558">
        <v>0.15</v>
      </c>
      <c r="T48" s="488">
        <v>1.05</v>
      </c>
      <c r="U48" s="488">
        <v>1</v>
      </c>
      <c r="V48" s="488"/>
      <c r="W48" s="488"/>
      <c r="Y48" s="461"/>
      <c r="AB48" s="197"/>
      <c r="BC48" s="197"/>
      <c r="BF48" s="10"/>
      <c r="BG48"/>
      <c r="BJ48" s="382"/>
      <c r="BM48" s="10"/>
      <c r="BP48" s="193"/>
      <c r="BQ48" s="38"/>
      <c r="BT48" s="38"/>
      <c r="BV48" s="38"/>
      <c r="CD48" s="456"/>
      <c r="CE48" s="456"/>
      <c r="CF48" s="456"/>
      <c r="CG48" s="456"/>
      <c r="CJ48" s="56">
        <f t="shared" si="21"/>
        <v>32</v>
      </c>
      <c r="CK48" s="245">
        <v>2</v>
      </c>
      <c r="CL48" s="245" t="s">
        <v>55</v>
      </c>
      <c r="CM48" s="195">
        <v>1330.8</v>
      </c>
      <c r="CN48" s="196">
        <v>1282.5</v>
      </c>
      <c r="CO48" s="10">
        <v>1270</v>
      </c>
      <c r="DL48" s="531"/>
      <c r="DM48" s="532"/>
      <c r="DN48" s="532"/>
      <c r="DO48" s="532"/>
      <c r="DP48" s="532"/>
      <c r="DT48" s="831" t="s">
        <v>264</v>
      </c>
      <c r="DU48" s="831"/>
      <c r="DV48" s="204" t="s">
        <v>265</v>
      </c>
      <c r="DW48" s="205">
        <f>EA48</f>
        <v>62</v>
      </c>
      <c r="DX48" s="832" t="s">
        <v>266</v>
      </c>
      <c r="DY48" s="832"/>
      <c r="DZ48" s="204" t="s">
        <v>265</v>
      </c>
      <c r="EA48" s="205">
        <v>62</v>
      </c>
      <c r="EB48" s="206"/>
      <c r="EC48" s="833" t="s">
        <v>267</v>
      </c>
      <c r="ED48" s="833"/>
      <c r="EE48" s="833"/>
      <c r="EF48" s="833"/>
      <c r="EL48"/>
      <c r="EM48" s="383" t="s">
        <v>403</v>
      </c>
      <c r="EN48" s="383"/>
      <c r="EO48" s="383"/>
      <c r="EP48" s="383"/>
      <c r="ER48" s="375"/>
      <c r="ES48" s="380"/>
      <c r="ET48" s="380"/>
    </row>
    <row r="49" spans="1:150" ht="24.95" customHeight="1" thickTop="1" thickBot="1">
      <c r="B49" s="194"/>
      <c r="G49" s="498" t="s">
        <v>438</v>
      </c>
      <c r="H49" s="498" t="s">
        <v>439</v>
      </c>
      <c r="I49" s="498" t="s">
        <v>458</v>
      </c>
      <c r="J49" s="606" t="s">
        <v>459</v>
      </c>
      <c r="K49" s="498" t="s">
        <v>460</v>
      </c>
      <c r="L49" s="498" t="s">
        <v>461</v>
      </c>
      <c r="M49" s="606" t="s">
        <v>460</v>
      </c>
      <c r="N49" s="606" t="s">
        <v>462</v>
      </c>
      <c r="O49" s="613" t="s">
        <v>464</v>
      </c>
      <c r="P49" s="498" t="s">
        <v>463</v>
      </c>
      <c r="Q49" s="495"/>
      <c r="R49" s="559">
        <v>0.1</v>
      </c>
      <c r="T49" s="488">
        <v>1</v>
      </c>
      <c r="U49" s="488">
        <v>1</v>
      </c>
      <c r="V49" s="488"/>
      <c r="W49" s="488"/>
      <c r="Y49" s="461"/>
      <c r="AB49" s="197"/>
      <c r="BC49" s="197"/>
      <c r="BF49" s="10"/>
      <c r="BG49"/>
      <c r="BJ49" s="382"/>
      <c r="BM49" s="10"/>
      <c r="BP49" s="193"/>
      <c r="BQ49" s="38"/>
      <c r="BT49" s="38"/>
      <c r="BV49" s="38"/>
      <c r="CD49" s="456"/>
      <c r="CE49" s="456"/>
      <c r="CF49" s="456"/>
      <c r="CG49" s="456"/>
      <c r="CJ49" s="56">
        <f t="shared" si="21"/>
        <v>33</v>
      </c>
      <c r="CK49" s="245">
        <v>3</v>
      </c>
      <c r="CL49" s="245" t="s">
        <v>56</v>
      </c>
      <c r="CM49" s="195">
        <v>1470.1</v>
      </c>
      <c r="CN49" s="196">
        <v>1343.6</v>
      </c>
      <c r="CO49" s="10">
        <v>1450</v>
      </c>
      <c r="DT49" s="297" t="s">
        <v>194</v>
      </c>
      <c r="DU49" s="298" t="s">
        <v>195</v>
      </c>
      <c r="DV49" s="207" t="s">
        <v>268</v>
      </c>
      <c r="DW49" s="208">
        <v>0.17260273972602741</v>
      </c>
      <c r="DX49" s="209"/>
      <c r="DY49" s="209"/>
      <c r="DZ49" s="207" t="s">
        <v>268</v>
      </c>
      <c r="EA49" s="210">
        <f>EA48/365</f>
        <v>0.16986301369863013</v>
      </c>
      <c r="EB49" s="155"/>
      <c r="EC49" s="155" t="s">
        <v>253</v>
      </c>
      <c r="ED49" s="155" t="s">
        <v>254</v>
      </c>
      <c r="EE49" s="155" t="s">
        <v>255</v>
      </c>
      <c r="EF49" s="155" t="s">
        <v>256</v>
      </c>
      <c r="EL49"/>
      <c r="EN49" s="384" t="s">
        <v>404</v>
      </c>
      <c r="EO49" s="384" t="s">
        <v>405</v>
      </c>
      <c r="ER49" s="375">
        <v>365</v>
      </c>
      <c r="ES49" s="380"/>
      <c r="ET49" s="380"/>
    </row>
    <row r="50" spans="1:150" ht="50.1" customHeight="1" thickTop="1" thickBot="1">
      <c r="F50" s="598" t="s">
        <v>453</v>
      </c>
      <c r="G50" s="595" t="s">
        <v>457</v>
      </c>
      <c r="H50" s="595" t="s">
        <v>441</v>
      </c>
      <c r="I50" s="596" t="s">
        <v>442</v>
      </c>
      <c r="J50" s="597" t="s">
        <v>454</v>
      </c>
      <c r="K50" s="595" t="s">
        <v>467</v>
      </c>
      <c r="L50" s="595" t="s">
        <v>440</v>
      </c>
      <c r="M50" s="596" t="s">
        <v>455</v>
      </c>
      <c r="N50" s="597" t="s">
        <v>456</v>
      </c>
      <c r="O50" s="595" t="s">
        <v>468</v>
      </c>
      <c r="P50" s="595" t="s">
        <v>443</v>
      </c>
      <c r="Q50" s="495"/>
      <c r="R50" s="559">
        <v>0.05</v>
      </c>
      <c r="T50" s="488">
        <v>0.95</v>
      </c>
      <c r="U50" s="488">
        <v>1</v>
      </c>
      <c r="V50" s="488"/>
      <c r="W50" s="488"/>
      <c r="Y50" s="461"/>
      <c r="AB50" s="197"/>
      <c r="BC50" s="197"/>
      <c r="BF50" s="10"/>
      <c r="BG50"/>
      <c r="BJ50" s="382"/>
      <c r="BM50" s="10"/>
      <c r="BP50" s="193"/>
      <c r="BQ50" s="38"/>
      <c r="BT50" s="38"/>
      <c r="BV50" s="38"/>
      <c r="BY50" s="193"/>
      <c r="BZ50" s="193"/>
      <c r="CA50" s="193"/>
      <c r="CB50" s="193"/>
      <c r="CC50" s="193"/>
      <c r="CD50" s="193"/>
      <c r="CE50" s="193"/>
      <c r="CF50" s="193"/>
      <c r="CG50" s="193"/>
      <c r="CJ50" s="56">
        <f t="shared" si="21"/>
        <v>34</v>
      </c>
      <c r="CK50" s="245">
        <v>2</v>
      </c>
      <c r="CL50" s="245" t="s">
        <v>57</v>
      </c>
      <c r="CM50" s="282">
        <v>1335</v>
      </c>
      <c r="CN50" s="196">
        <v>1264.4000000000001</v>
      </c>
      <c r="CO50" s="10">
        <v>1260</v>
      </c>
      <c r="DT50" s="299" t="s">
        <v>269</v>
      </c>
      <c r="DU50" s="299" t="s">
        <v>270</v>
      </c>
      <c r="DV50" s="155" t="s">
        <v>271</v>
      </c>
      <c r="DW50" s="155"/>
      <c r="DX50" s="212" t="s">
        <v>253</v>
      </c>
      <c r="DY50" s="212" t="s">
        <v>254</v>
      </c>
      <c r="DZ50" s="213" t="s">
        <v>255</v>
      </c>
      <c r="EA50" s="213" t="s">
        <v>256</v>
      </c>
      <c r="EB50" s="155"/>
      <c r="EC50" s="214">
        <v>1800</v>
      </c>
      <c r="ED50" s="214">
        <v>2640</v>
      </c>
      <c r="EE50" s="214">
        <v>4440</v>
      </c>
      <c r="EF50" s="214"/>
      <c r="EL50"/>
      <c r="EN50" s="387">
        <f>EA48</f>
        <v>62</v>
      </c>
      <c r="EO50" s="387">
        <f>DV54</f>
        <v>35.515718150051121</v>
      </c>
      <c r="ER50" s="375">
        <v>365</v>
      </c>
      <c r="ES50" s="380"/>
      <c r="ET50" s="380"/>
    </row>
    <row r="51" spans="1:150" ht="24.95" customHeight="1" thickBot="1">
      <c r="F51" s="599" t="str">
        <f t="shared" ref="F51:F62" si="22">AL7</f>
        <v>gennaio</v>
      </c>
      <c r="G51" s="600">
        <f t="shared" ref="G51:G62" si="23">$B$20/$DP$45*DP33</f>
        <v>7.7289018706289472</v>
      </c>
      <c r="H51" s="600">
        <f>AE7/31</f>
        <v>3.2474678159238546</v>
      </c>
      <c r="I51" s="601">
        <f t="shared" ref="I51:I62" si="24">(G51-H51)*BC8</f>
        <v>3.3610755410288191</v>
      </c>
      <c r="J51" s="601">
        <f>'GUIDA dimensionamento ACCUMULO'!$B$33</f>
        <v>7.7519999999999998</v>
      </c>
      <c r="K51" s="601">
        <f t="shared" ref="K51:K62" si="25">IF(I51&lt;J51,I51,J51)</f>
        <v>3.3610755410288191</v>
      </c>
      <c r="L51" s="600">
        <f>IF('FOGLIO RACCOLTA DATI DI CONSUMO'!$D$11="Sì",$T47,$U47)*$T$64</f>
        <v>12.926027397260274</v>
      </c>
      <c r="M51" s="600">
        <f t="shared" ref="M51:M62" si="26">K51</f>
        <v>3.3610755410288191</v>
      </c>
      <c r="N51" s="601">
        <f t="shared" ref="N51:N62" si="27">H51+M51</f>
        <v>6.6085433569526737</v>
      </c>
      <c r="O51" s="601">
        <f t="shared" ref="O51:O62" si="28">IF((L51-N51)&lt;0,0,L51-N51)*(1+R47)</f>
        <v>7.5809808483691201</v>
      </c>
      <c r="P51" s="602">
        <f>G51-N51</f>
        <v>1.1203585136762735</v>
      </c>
      <c r="Q51" s="495"/>
      <c r="R51" s="559">
        <v>0</v>
      </c>
      <c r="T51" s="488">
        <v>0.85</v>
      </c>
      <c r="U51" s="488">
        <v>1</v>
      </c>
      <c r="V51" s="488"/>
      <c r="W51" s="488"/>
      <c r="Y51" s="461"/>
      <c r="AB51" s="197"/>
      <c r="BC51" s="197"/>
      <c r="BF51" s="10"/>
      <c r="BG51"/>
      <c r="BJ51" s="382"/>
      <c r="BM51" s="10"/>
      <c r="BP51" s="193"/>
      <c r="BQ51" s="283"/>
      <c r="BR51" s="184"/>
      <c r="BT51" s="283"/>
      <c r="BU51" s="184"/>
      <c r="BV51" s="283"/>
      <c r="BW51" s="184"/>
      <c r="BY51" s="193"/>
      <c r="BZ51" s="193"/>
      <c r="CA51" s="193"/>
      <c r="CB51" s="193"/>
      <c r="CC51" s="193"/>
      <c r="CD51" s="193"/>
      <c r="CE51" s="193"/>
      <c r="CF51" s="193"/>
      <c r="CG51" s="193"/>
      <c r="CJ51" s="56">
        <f t="shared" si="21"/>
        <v>35</v>
      </c>
      <c r="CK51" s="245">
        <v>3</v>
      </c>
      <c r="CL51" s="245" t="s">
        <v>58</v>
      </c>
      <c r="CM51" s="195">
        <v>1392.7</v>
      </c>
      <c r="CN51" s="196">
        <v>1324.1</v>
      </c>
      <c r="CO51" s="10">
        <v>1360</v>
      </c>
      <c r="DT51" s="300">
        <v>3971</v>
      </c>
      <c r="DU51" s="301"/>
      <c r="DV51" s="215">
        <f>IF(AND($B$31="0",$B$12=0),"xxxx",3/100*($BG$11+$BG$12))</f>
        <v>1.0654715445015337</v>
      </c>
      <c r="DW51" s="216"/>
      <c r="DX51" s="217">
        <f>(DV51*DX58)/DV54</f>
        <v>1.0654715445015337</v>
      </c>
      <c r="DY51" s="217">
        <f>(DV51*DY58)/DV54</f>
        <v>0</v>
      </c>
      <c r="DZ51" s="217">
        <f>(DV51*DZ58)/DV54</f>
        <v>0</v>
      </c>
      <c r="EA51" s="217">
        <f>(DV51*EA58)/DV54</f>
        <v>0</v>
      </c>
      <c r="EB51" s="218"/>
      <c r="EC51" s="219">
        <f t="shared" ref="EC51:EF52" si="29">EC12</f>
        <v>0.11321200000000001</v>
      </c>
      <c r="ED51" s="219">
        <f t="shared" si="29"/>
        <v>0.16523199999999999</v>
      </c>
      <c r="EE51" s="219">
        <f t="shared" si="29"/>
        <v>0.23802200000000001</v>
      </c>
      <c r="EF51" s="219">
        <f t="shared" si="29"/>
        <v>0.23802200000000001</v>
      </c>
      <c r="EL51"/>
      <c r="EN51" s="385">
        <f>EA48</f>
        <v>62</v>
      </c>
      <c r="EO51" s="385">
        <f>DV54</f>
        <v>35.515718150051121</v>
      </c>
      <c r="ER51" s="375"/>
      <c r="ES51" s="380"/>
      <c r="ET51" s="380"/>
    </row>
    <row r="52" spans="1:150" ht="24.95" customHeight="1" thickBot="1">
      <c r="F52" s="599" t="str">
        <f t="shared" si="22"/>
        <v>febbraio</v>
      </c>
      <c r="G52" s="600">
        <f t="shared" si="23"/>
        <v>11.122711177794448</v>
      </c>
      <c r="H52" s="600">
        <f>AE8/28</f>
        <v>3.9774053706038583</v>
      </c>
      <c r="I52" s="601">
        <f t="shared" si="24"/>
        <v>6.1925983662318451</v>
      </c>
      <c r="J52" s="601">
        <f>'GUIDA dimensionamento ACCUMULO'!$B$33</f>
        <v>7.7519999999999998</v>
      </c>
      <c r="K52" s="601">
        <f t="shared" si="25"/>
        <v>6.1925983662318451</v>
      </c>
      <c r="L52" s="600">
        <f>IF('FOGLIO RACCOLTA DATI DI CONSUMO'!$D$11="Sì",$T48,$U48)*$T$64</f>
        <v>12.926027397260274</v>
      </c>
      <c r="M52" s="600">
        <f t="shared" si="26"/>
        <v>6.1925983662318451</v>
      </c>
      <c r="N52" s="601">
        <f t="shared" si="27"/>
        <v>10.170003736835703</v>
      </c>
      <c r="O52" s="601">
        <f t="shared" si="28"/>
        <v>3.1694272094882563</v>
      </c>
      <c r="P52" s="602">
        <f t="shared" ref="P52:P62" si="30">G52-N52</f>
        <v>0.95270744095874527</v>
      </c>
      <c r="Q52" s="495"/>
      <c r="R52" s="559">
        <v>0</v>
      </c>
      <c r="T52" s="488">
        <v>1</v>
      </c>
      <c r="U52" s="488">
        <v>1</v>
      </c>
      <c r="V52" s="488"/>
      <c r="W52" s="488"/>
      <c r="Y52" s="461"/>
      <c r="AB52" s="197"/>
      <c r="BC52" s="197"/>
      <c r="BF52" s="10"/>
      <c r="BG52"/>
      <c r="BJ52" s="382"/>
      <c r="BM52" s="10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J52" s="56">
        <f t="shared" si="21"/>
        <v>36</v>
      </c>
      <c r="CK52" s="245">
        <v>2</v>
      </c>
      <c r="CL52" s="245" t="s">
        <v>59</v>
      </c>
      <c r="CM52" s="195">
        <v>1243.3</v>
      </c>
      <c r="CN52" s="196">
        <v>1262.3</v>
      </c>
      <c r="CO52" s="10">
        <v>1290</v>
      </c>
      <c r="CP52" s="38"/>
      <c r="CQ52" s="38"/>
      <c r="CR52" s="38"/>
      <c r="DT52" s="302">
        <v>5469</v>
      </c>
      <c r="DU52" s="303"/>
      <c r="DV52" s="215">
        <f>IF(AND($B$31="0",$B$12=0),"xxxx",$BO$6/100*($BG$12+$BG$11))</f>
        <v>3.5515718150051123</v>
      </c>
      <c r="DW52" s="216"/>
      <c r="DX52" s="225">
        <f>(DV52*DX58)/DV54</f>
        <v>3.5515718150051123</v>
      </c>
      <c r="DY52" s="225">
        <f>(DV52*DY58)/DV54</f>
        <v>0</v>
      </c>
      <c r="DZ52" s="225">
        <f>(DV52*DZ58)/DV54</f>
        <v>0</v>
      </c>
      <c r="EA52" s="225">
        <f>(DV52*EA58)/DV54</f>
        <v>0</v>
      </c>
      <c r="EB52" s="218"/>
      <c r="EC52" s="219">
        <f t="shared" si="29"/>
        <v>0.106492</v>
      </c>
      <c r="ED52" s="219">
        <f t="shared" si="29"/>
        <v>0.15851199999999999</v>
      </c>
      <c r="EE52" s="219">
        <f t="shared" si="29"/>
        <v>0.23130200000000001</v>
      </c>
      <c r="EF52" s="219">
        <f t="shared" si="29"/>
        <v>0.23130200000000001</v>
      </c>
      <c r="EL52"/>
      <c r="ER52" s="375" t="s">
        <v>412</v>
      </c>
      <c r="ES52" s="380"/>
      <c r="ET52" s="380"/>
    </row>
    <row r="53" spans="1:150" ht="24.95" customHeight="1" thickBot="1">
      <c r="F53" s="599" t="str">
        <f t="shared" si="22"/>
        <v>marzo</v>
      </c>
      <c r="G53" s="600">
        <f t="shared" si="23"/>
        <v>14.781368245287128</v>
      </c>
      <c r="H53" s="600">
        <f>AE9/31</f>
        <v>4.3607157747534364</v>
      </c>
      <c r="I53" s="601">
        <f t="shared" si="24"/>
        <v>8.4407285011322912</v>
      </c>
      <c r="J53" s="601">
        <f>'GUIDA dimensionamento ACCUMULO'!$B$33</f>
        <v>7.7519999999999998</v>
      </c>
      <c r="K53" s="601">
        <f t="shared" si="25"/>
        <v>7.7519999999999998</v>
      </c>
      <c r="L53" s="600">
        <f>IF('FOGLIO RACCOLTA DATI DI CONSUMO'!$D$11="Sì",$T49,$U49)*$T$64</f>
        <v>12.926027397260274</v>
      </c>
      <c r="M53" s="600">
        <f t="shared" si="26"/>
        <v>7.7519999999999998</v>
      </c>
      <c r="N53" s="601">
        <f t="shared" si="27"/>
        <v>12.112715774753436</v>
      </c>
      <c r="O53" s="601">
        <f t="shared" si="28"/>
        <v>0.89464278475752157</v>
      </c>
      <c r="P53" s="602">
        <f t="shared" si="30"/>
        <v>2.6686524705336918</v>
      </c>
      <c r="Q53" s="495"/>
      <c r="R53" s="559">
        <v>0</v>
      </c>
      <c r="T53" s="488">
        <v>1.05</v>
      </c>
      <c r="U53" s="488">
        <v>1</v>
      </c>
      <c r="V53" s="488"/>
      <c r="W53" s="488"/>
      <c r="Y53" s="461"/>
      <c r="AB53" s="197"/>
      <c r="AK53" s="38"/>
      <c r="BC53" s="197"/>
      <c r="BF53" s="10"/>
      <c r="BG53"/>
      <c r="BJ53" s="382"/>
      <c r="BM53" s="10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J53" s="56">
        <f t="shared" si="21"/>
        <v>37</v>
      </c>
      <c r="CK53" s="245">
        <v>1</v>
      </c>
      <c r="CL53" s="245" t="s">
        <v>60</v>
      </c>
      <c r="CM53" s="195">
        <v>1207.7</v>
      </c>
      <c r="CN53" s="196">
        <v>1181.8</v>
      </c>
      <c r="CO53" s="10">
        <v>1190</v>
      </c>
      <c r="CP53" s="38"/>
      <c r="CQ53" s="38"/>
      <c r="CR53" s="38"/>
      <c r="DT53" s="304">
        <v>7624</v>
      </c>
      <c r="DU53" s="305"/>
      <c r="DV53" s="215">
        <f>IF(AND($B$31="0",$B$12=0),"xxxx",87/100*($BG$11+$BG$12))</f>
        <v>30.898674790544476</v>
      </c>
      <c r="DW53" s="216"/>
      <c r="DX53" s="225">
        <f>(DV53*DX58)/DV54</f>
        <v>30.898674790544476</v>
      </c>
      <c r="DY53" s="225">
        <f>(DV53*DY58)/DV54</f>
        <v>0</v>
      </c>
      <c r="DZ53" s="225">
        <f>(DV53*DZ58)/DV54</f>
        <v>0</v>
      </c>
      <c r="EA53" s="225">
        <f>(DV53*EA58)/DV54</f>
        <v>0</v>
      </c>
      <c r="EB53" s="218"/>
      <c r="EC53" s="229">
        <f>EC52</f>
        <v>0.106492</v>
      </c>
      <c r="ED53" s="230">
        <f>ED52</f>
        <v>0.15851199999999999</v>
      </c>
      <c r="EE53" s="230">
        <f>EE52</f>
        <v>0.23130200000000001</v>
      </c>
      <c r="EF53" s="231">
        <f>EF52</f>
        <v>0.23130200000000001</v>
      </c>
      <c r="EL53"/>
      <c r="EN53" s="377">
        <f>EN51/ER53</f>
        <v>2.0383561643835617</v>
      </c>
      <c r="EO53" s="377" t="s">
        <v>406</v>
      </c>
      <c r="ER53" s="375">
        <f>365/12</f>
        <v>30.416666666666668</v>
      </c>
      <c r="ES53" s="380"/>
      <c r="ET53" s="380"/>
    </row>
    <row r="54" spans="1:150" ht="24.95" customHeight="1" thickBot="1">
      <c r="F54" s="599" t="str">
        <f t="shared" si="22"/>
        <v>aprile</v>
      </c>
      <c r="G54" s="600">
        <f t="shared" si="23"/>
        <v>16.568494123530879</v>
      </c>
      <c r="H54" s="600">
        <f>AE10/30</f>
        <v>4.4435850524452061</v>
      </c>
      <c r="I54" s="601">
        <f t="shared" si="24"/>
        <v>11.316581799679962</v>
      </c>
      <c r="J54" s="601">
        <f>'GUIDA dimensionamento ACCUMULO'!$B$33</f>
        <v>7.7519999999999998</v>
      </c>
      <c r="K54" s="601">
        <f t="shared" si="25"/>
        <v>7.7519999999999998</v>
      </c>
      <c r="L54" s="600">
        <f>IF('FOGLIO RACCOLTA DATI DI CONSUMO'!$D$11="Sì",$T50,$U50)*$T$64</f>
        <v>12.926027397260274</v>
      </c>
      <c r="M54" s="600">
        <f t="shared" si="26"/>
        <v>7.7519999999999998</v>
      </c>
      <c r="N54" s="601">
        <f t="shared" si="27"/>
        <v>12.195585052445207</v>
      </c>
      <c r="O54" s="601">
        <f t="shared" si="28"/>
        <v>0.76696446205582058</v>
      </c>
      <c r="P54" s="602">
        <f t="shared" si="30"/>
        <v>4.3729090710856724</v>
      </c>
      <c r="Q54" s="495"/>
      <c r="R54" s="559">
        <v>0</v>
      </c>
      <c r="T54" s="488">
        <v>1</v>
      </c>
      <c r="U54" s="488">
        <v>1</v>
      </c>
      <c r="V54" s="488"/>
      <c r="W54" s="488"/>
      <c r="Y54" s="461"/>
      <c r="AB54" s="197"/>
      <c r="AK54" s="38"/>
      <c r="BC54" s="197"/>
      <c r="BF54" s="10"/>
      <c r="BG54"/>
      <c r="BJ54" s="382"/>
      <c r="BM54" s="10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J54" s="56">
        <f t="shared" si="21"/>
        <v>38</v>
      </c>
      <c r="CK54" s="245">
        <v>3</v>
      </c>
      <c r="CL54" s="245" t="s">
        <v>61</v>
      </c>
      <c r="CM54" s="195">
        <v>1413.2</v>
      </c>
      <c r="CN54" s="196">
        <v>1357.9</v>
      </c>
      <c r="CO54" s="10">
        <v>1370</v>
      </c>
      <c r="CR54" s="38"/>
      <c r="CS54" s="38"/>
      <c r="CT54" s="38"/>
      <c r="CU54" s="38"/>
      <c r="DQ54" s="451"/>
      <c r="DR54" s="451"/>
      <c r="DT54" s="306">
        <f>SUM(DT51:DT53)</f>
        <v>17064</v>
      </c>
      <c r="DU54" s="306">
        <f>SUM(DU51:DU53)</f>
        <v>0</v>
      </c>
      <c r="DV54" s="156">
        <f>IF(SUM(DV51:DV53)=0,0.001,SUM(DV51:DV53))</f>
        <v>35.515718150051121</v>
      </c>
      <c r="DW54" s="155"/>
      <c r="DX54" s="233">
        <f>EC50*EA49</f>
        <v>305.75342465753425</v>
      </c>
      <c r="DY54" s="233">
        <f>ED50*EA49</f>
        <v>448.43835616438355</v>
      </c>
      <c r="DZ54" s="233">
        <f>EE50*EA49</f>
        <v>754.19178082191775</v>
      </c>
      <c r="EA54" s="233"/>
      <c r="EB54" s="234"/>
      <c r="EC54" s="235"/>
      <c r="ED54" s="236"/>
      <c r="EE54" s="236"/>
      <c r="EF54" s="237"/>
      <c r="EL54"/>
      <c r="EN54" s="377">
        <f>EO51/EN53</f>
        <v>17.423705812861101</v>
      </c>
      <c r="EO54" s="377" t="s">
        <v>407</v>
      </c>
      <c r="ES54" s="380"/>
      <c r="ET54" s="380"/>
    </row>
    <row r="55" spans="1:150" ht="24.95" customHeight="1" thickBot="1">
      <c r="F55" s="599" t="str">
        <f t="shared" si="22"/>
        <v>maggio</v>
      </c>
      <c r="G55" s="600">
        <f t="shared" si="23"/>
        <v>17.787748227379424</v>
      </c>
      <c r="H55" s="600">
        <f>AE11/31</f>
        <v>4.7705827427965168</v>
      </c>
      <c r="I55" s="601">
        <f t="shared" si="24"/>
        <v>12.583259968430143</v>
      </c>
      <c r="J55" s="601">
        <f>'GUIDA dimensionamento ACCUMULO'!$B$33</f>
        <v>7.7519999999999998</v>
      </c>
      <c r="K55" s="601">
        <f t="shared" si="25"/>
        <v>7.7519999999999998</v>
      </c>
      <c r="L55" s="600">
        <f>IF('FOGLIO RACCOLTA DATI DI CONSUMO'!$D$11="Sì",$T51,$U51)*$T$64</f>
        <v>12.926027397260274</v>
      </c>
      <c r="M55" s="600">
        <f t="shared" si="26"/>
        <v>7.7519999999999998</v>
      </c>
      <c r="N55" s="601">
        <f t="shared" si="27"/>
        <v>12.522582742796516</v>
      </c>
      <c r="O55" s="601">
        <f t="shared" si="28"/>
        <v>0.40344465446375821</v>
      </c>
      <c r="P55" s="602">
        <f t="shared" si="30"/>
        <v>5.2651654845829086</v>
      </c>
      <c r="Q55" s="495"/>
      <c r="R55" s="559">
        <v>0.05</v>
      </c>
      <c r="S55" s="408"/>
      <c r="T55" s="488">
        <v>0.85</v>
      </c>
      <c r="U55" s="488">
        <v>1</v>
      </c>
      <c r="V55" s="488"/>
      <c r="W55" s="488"/>
      <c r="Y55" s="461"/>
      <c r="AB55" s="197"/>
      <c r="AK55" s="38"/>
      <c r="BC55" s="197"/>
      <c r="BF55" s="10"/>
      <c r="BG55"/>
      <c r="BJ55" s="382"/>
      <c r="BM55" s="10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J55" s="56">
        <f t="shared" si="21"/>
        <v>39</v>
      </c>
      <c r="CK55" s="245">
        <v>3</v>
      </c>
      <c r="CL55" s="245" t="s">
        <v>62</v>
      </c>
      <c r="CM55" s="195">
        <v>1423.4</v>
      </c>
      <c r="CN55" s="196">
        <v>1304.7</v>
      </c>
      <c r="CO55" s="10">
        <v>1390</v>
      </c>
      <c r="CR55" s="873"/>
      <c r="CS55" s="873"/>
      <c r="CT55" s="873"/>
      <c r="CU55" s="874"/>
      <c r="DQ55" s="451"/>
      <c r="DR55" s="451"/>
      <c r="DT55" s="307" t="s">
        <v>273</v>
      </c>
      <c r="DU55" s="308">
        <f>IF($B$31="0",'FOGLIO RACCOLTA DATI DI CONSUMO'!$B$14,IF($BG$20&lt;3000,3,'FOGLIO RACCOLTA DATI DI CONSUMO'!$B$14))</f>
        <v>3</v>
      </c>
      <c r="DV55" s="238"/>
      <c r="DW55" s="216"/>
      <c r="DX55" s="239">
        <f>DX51*EC51</f>
        <v>0.12062416449610765</v>
      </c>
      <c r="DY55" s="240">
        <f>DY51*ED51</f>
        <v>0</v>
      </c>
      <c r="DZ55" s="240">
        <f>DZ51*EE51</f>
        <v>0</v>
      </c>
      <c r="EA55" s="241">
        <f>EA51*EF51</f>
        <v>0</v>
      </c>
      <c r="EB55" s="242">
        <f>SUM(DX55:EA55)</f>
        <v>0.12062416449610765</v>
      </c>
      <c r="EC55" s="243"/>
      <c r="ED55" s="243"/>
      <c r="EE55" s="243"/>
      <c r="EF55" s="244"/>
      <c r="EL55"/>
      <c r="EN55" s="377">
        <f>IF(EN54&gt;370,0,IF(EN54&gt;220,150-(EN54-220),150))</f>
        <v>150</v>
      </c>
      <c r="EO55" s="377" t="s">
        <v>408</v>
      </c>
      <c r="ES55" s="380"/>
      <c r="ET55" s="380"/>
    </row>
    <row r="56" spans="1:150" ht="24.95" customHeight="1" thickBot="1">
      <c r="F56" s="599" t="str">
        <f t="shared" si="22"/>
        <v>giugno</v>
      </c>
      <c r="G56" s="600">
        <f t="shared" si="23"/>
        <v>19.027879969992497</v>
      </c>
      <c r="H56" s="600">
        <f>AE12/30</f>
        <v>5.1031797086675423</v>
      </c>
      <c r="I56" s="601">
        <f t="shared" si="24"/>
        <v>13.924700261324954</v>
      </c>
      <c r="J56" s="601">
        <f>'GUIDA dimensionamento ACCUMULO'!$B$33</f>
        <v>7.7519999999999998</v>
      </c>
      <c r="K56" s="601">
        <f t="shared" si="25"/>
        <v>7.7519999999999998</v>
      </c>
      <c r="L56" s="600">
        <f>IF('FOGLIO RACCOLTA DATI DI CONSUMO'!$D$11="Sì",$T52,$U52)*$T$64</f>
        <v>12.926027397260274</v>
      </c>
      <c r="M56" s="600">
        <f t="shared" si="26"/>
        <v>7.7519999999999998</v>
      </c>
      <c r="N56" s="601">
        <f t="shared" si="27"/>
        <v>12.855179708667542</v>
      </c>
      <c r="O56" s="601">
        <f t="shared" si="28"/>
        <v>7.0847688592731828E-2</v>
      </c>
      <c r="P56" s="602">
        <f t="shared" si="30"/>
        <v>6.1727002613249553</v>
      </c>
      <c r="Q56" s="495"/>
      <c r="R56" s="559">
        <v>0.1</v>
      </c>
      <c r="S56" s="408"/>
      <c r="T56" s="488">
        <v>1</v>
      </c>
      <c r="U56" s="488">
        <v>1</v>
      </c>
      <c r="V56" s="488"/>
      <c r="W56" s="488"/>
      <c r="Y56" s="461"/>
      <c r="BC56" s="197"/>
      <c r="BF56" s="10"/>
      <c r="BG56"/>
      <c r="BJ56" s="382"/>
      <c r="BM56" s="10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J56" s="56">
        <f t="shared" si="21"/>
        <v>40</v>
      </c>
      <c r="CK56" s="245">
        <v>2</v>
      </c>
      <c r="CL56" s="245" t="s">
        <v>63</v>
      </c>
      <c r="CM56" s="195">
        <v>1305.2</v>
      </c>
      <c r="CN56" s="196">
        <v>1317.3</v>
      </c>
      <c r="CO56" s="10">
        <v>1370</v>
      </c>
      <c r="CR56" s="39"/>
      <c r="CS56" s="39"/>
      <c r="CT56" s="39"/>
      <c r="CU56" s="39"/>
      <c r="DT56" s="309"/>
      <c r="DU56" s="309"/>
      <c r="DV56" s="155"/>
      <c r="DW56" s="216"/>
      <c r="DX56" s="249">
        <f t="shared" ref="DX56:EA57" si="31">DX52*EC52</f>
        <v>0.37821398572352444</v>
      </c>
      <c r="DY56" s="250">
        <f t="shared" si="31"/>
        <v>0</v>
      </c>
      <c r="DZ56" s="250">
        <f t="shared" si="31"/>
        <v>0</v>
      </c>
      <c r="EA56" s="251">
        <f t="shared" si="31"/>
        <v>0</v>
      </c>
      <c r="EB56" s="242">
        <f>SUM(DX56:EA56)</f>
        <v>0.37821398572352444</v>
      </c>
      <c r="EC56" s="252" t="s">
        <v>274</v>
      </c>
      <c r="ED56" s="252"/>
      <c r="EE56" s="253" t="s">
        <v>275</v>
      </c>
      <c r="EF56" s="254">
        <f>$EF$17</f>
        <v>42.784799999999997</v>
      </c>
      <c r="EL56"/>
      <c r="EN56" s="377">
        <f>IF(EN54&gt;EN55,EN54-EN55,0)</f>
        <v>0</v>
      </c>
      <c r="EO56" s="377" t="s">
        <v>409</v>
      </c>
      <c r="ES56" s="380"/>
      <c r="ET56" s="380"/>
    </row>
    <row r="57" spans="1:150" ht="24.95" customHeight="1" thickBot="1">
      <c r="F57" s="599" t="str">
        <f t="shared" si="22"/>
        <v>luglio</v>
      </c>
      <c r="G57" s="600">
        <f t="shared" si="23"/>
        <v>19.666735716187109</v>
      </c>
      <c r="H57" s="600">
        <f>AE13/31</f>
        <v>5.2745175395707982</v>
      </c>
      <c r="I57" s="601">
        <f t="shared" si="24"/>
        <v>14.392218176616311</v>
      </c>
      <c r="J57" s="601">
        <f>'GUIDA dimensionamento ACCUMULO'!$B$33</f>
        <v>7.7519999999999998</v>
      </c>
      <c r="K57" s="601">
        <f t="shared" si="25"/>
        <v>7.7519999999999998</v>
      </c>
      <c r="L57" s="600">
        <f>IF('FOGLIO RACCOLTA DATI DI CONSUMO'!$D$11="Sì",$T53,$U53)*$T$64</f>
        <v>12.926027397260274</v>
      </c>
      <c r="M57" s="600">
        <f t="shared" si="26"/>
        <v>7.7519999999999998</v>
      </c>
      <c r="N57" s="601">
        <f t="shared" si="27"/>
        <v>13.026517539570797</v>
      </c>
      <c r="O57" s="601">
        <f t="shared" si="28"/>
        <v>0</v>
      </c>
      <c r="P57" s="602">
        <f t="shared" si="30"/>
        <v>6.6402181766163118</v>
      </c>
      <c r="Q57" s="495"/>
      <c r="R57" s="559">
        <v>0.15</v>
      </c>
      <c r="S57" s="408"/>
      <c r="T57" s="488">
        <v>1.05</v>
      </c>
      <c r="U57" s="488">
        <v>1</v>
      </c>
      <c r="V57" s="488"/>
      <c r="W57" s="488"/>
      <c r="Y57" s="461"/>
      <c r="BC57" s="284"/>
      <c r="BE57" s="184"/>
      <c r="BF57" s="184"/>
      <c r="BG57"/>
      <c r="BJ57" s="382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J57" s="56">
        <f>CJ56+1</f>
        <v>41</v>
      </c>
      <c r="CK57" s="245">
        <v>2</v>
      </c>
      <c r="CL57" s="245" t="s">
        <v>64</v>
      </c>
      <c r="CM57" s="195">
        <v>1317.4</v>
      </c>
      <c r="CN57" s="196">
        <v>1270.2</v>
      </c>
      <c r="CO57" s="10">
        <v>1260</v>
      </c>
      <c r="CR57" s="39"/>
      <c r="CS57" s="39"/>
      <c r="CT57" s="39"/>
      <c r="CU57" s="39"/>
      <c r="DT57" s="310" t="s">
        <v>274</v>
      </c>
      <c r="DU57" s="311">
        <f>IF(AND($B$31="0",$B$12=0),"xxxx",EF56*EA49)</f>
        <v>7.2675550684931496</v>
      </c>
      <c r="DV57" s="155"/>
      <c r="DW57" s="216"/>
      <c r="DX57" s="256">
        <f t="shared" si="31"/>
        <v>3.2904616757946625</v>
      </c>
      <c r="DY57" s="257">
        <f t="shared" si="31"/>
        <v>0</v>
      </c>
      <c r="DZ57" s="257">
        <f t="shared" si="31"/>
        <v>0</v>
      </c>
      <c r="EA57" s="258">
        <f t="shared" si="31"/>
        <v>0</v>
      </c>
      <c r="EB57" s="242">
        <f>SUM(DX57:EA57)</f>
        <v>3.2904616757946625</v>
      </c>
      <c r="EC57" s="830" t="s">
        <v>276</v>
      </c>
      <c r="ED57" s="830"/>
      <c r="EE57" s="253" t="s">
        <v>277</v>
      </c>
      <c r="EF57" s="254">
        <f>$EF$18</f>
        <v>10.055999999999999</v>
      </c>
      <c r="EL57"/>
      <c r="ES57" s="380"/>
      <c r="ET57" s="380"/>
    </row>
    <row r="58" spans="1:150" ht="24.95" customHeight="1" thickBot="1">
      <c r="F58" s="599" t="str">
        <f t="shared" si="22"/>
        <v>agosto</v>
      </c>
      <c r="G58" s="600">
        <f t="shared" si="23"/>
        <v>18.789874888076856</v>
      </c>
      <c r="H58" s="600">
        <f>AE14/31</f>
        <v>5.0393479677427999</v>
      </c>
      <c r="I58" s="601">
        <f t="shared" si="24"/>
        <v>13.292176022989588</v>
      </c>
      <c r="J58" s="601">
        <f>'GUIDA dimensionamento ACCUMULO'!$B$33</f>
        <v>7.7519999999999998</v>
      </c>
      <c r="K58" s="601">
        <f t="shared" si="25"/>
        <v>7.7519999999999998</v>
      </c>
      <c r="L58" s="600">
        <f>IF('FOGLIO RACCOLTA DATI DI CONSUMO'!$D$11="Sì",$T54,$U54)*$T$64</f>
        <v>12.926027397260274</v>
      </c>
      <c r="M58" s="600">
        <f t="shared" si="26"/>
        <v>7.7519999999999998</v>
      </c>
      <c r="N58" s="601">
        <f t="shared" si="27"/>
        <v>12.7913479677428</v>
      </c>
      <c r="O58" s="601">
        <f t="shared" si="28"/>
        <v>0.13467942951747425</v>
      </c>
      <c r="P58" s="602">
        <f t="shared" si="30"/>
        <v>5.9985269203340561</v>
      </c>
      <c r="Q58" s="495"/>
      <c r="R58" s="559">
        <v>0.2</v>
      </c>
      <c r="S58" s="408"/>
      <c r="T58" s="488">
        <v>1.1000000000000001</v>
      </c>
      <c r="U58" s="488">
        <v>1</v>
      </c>
      <c r="V58" s="488"/>
      <c r="W58" s="488"/>
      <c r="Y58" s="488"/>
      <c r="Z58" s="292"/>
      <c r="AK58" s="50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J58" s="56">
        <f>CJ57+1</f>
        <v>42</v>
      </c>
      <c r="CK58" s="245">
        <v>2</v>
      </c>
      <c r="CL58" s="245" t="s">
        <v>65</v>
      </c>
      <c r="CM58" s="195">
        <v>1241.2</v>
      </c>
      <c r="CN58" s="196">
        <v>1289.3</v>
      </c>
      <c r="CO58" s="10">
        <v>1360</v>
      </c>
      <c r="CR58" s="39"/>
      <c r="CS58" s="39"/>
      <c r="CT58" s="39"/>
      <c r="CU58" s="39"/>
      <c r="DT58" s="310" t="s">
        <v>276</v>
      </c>
      <c r="DU58" s="311">
        <f>IF(AND($B$31="0",$B$12=0),"xxxx",(EF57*EA49)*DU55)</f>
        <v>5.1244273972602734</v>
      </c>
      <c r="DV58" s="155"/>
      <c r="DW58" s="155"/>
      <c r="DX58" s="233">
        <f>IF((DV54&lt;DX54),DV54,DX54)</f>
        <v>35.515718150051121</v>
      </c>
      <c r="DY58" s="233">
        <f>IF((DV54&lt;DY54),(DV54-DX58),(DY54-DX54))</f>
        <v>0</v>
      </c>
      <c r="DZ58" s="233">
        <f>IF((DV54&lt;DZ54),(DV54-SUM(DX58:DY58)),(DZ54-SUM(DX58:DY58)))</f>
        <v>0</v>
      </c>
      <c r="EA58" s="233">
        <f>IF((DV54&lt;DZ54),0,(DV54-SUM(DX58:DZ58)))</f>
        <v>0</v>
      </c>
      <c r="EB58" s="260">
        <f>SUM(EB55:EB57)</f>
        <v>3.7892998260142945</v>
      </c>
      <c r="EC58" s="834" t="s">
        <v>278</v>
      </c>
      <c r="ED58" s="830"/>
      <c r="EE58" s="253" t="s">
        <v>279</v>
      </c>
      <c r="EF58" s="254">
        <v>2.2700000000000001E-2</v>
      </c>
      <c r="EG58" s="348"/>
      <c r="EL58"/>
      <c r="EM58" s="386" t="s">
        <v>410</v>
      </c>
      <c r="EN58" s="387"/>
      <c r="EO58" s="387"/>
      <c r="EP58" s="387"/>
      <c r="ES58" s="380"/>
      <c r="ET58" s="380"/>
    </row>
    <row r="59" spans="1:150" ht="24.95" customHeight="1" thickBot="1">
      <c r="F59" s="599" t="str">
        <f t="shared" si="22"/>
        <v>settembre</v>
      </c>
      <c r="G59" s="600">
        <f t="shared" si="23"/>
        <v>16.439052763190794</v>
      </c>
      <c r="H59" s="600">
        <f>AE15/30</f>
        <v>4.8497564986452764</v>
      </c>
      <c r="I59" s="601">
        <f t="shared" si="24"/>
        <v>10.816676513575816</v>
      </c>
      <c r="J59" s="601">
        <f>'GUIDA dimensionamento ACCUMULO'!$B$33</f>
        <v>7.7519999999999998</v>
      </c>
      <c r="K59" s="601">
        <f t="shared" si="25"/>
        <v>7.7519999999999998</v>
      </c>
      <c r="L59" s="600">
        <f>IF('FOGLIO RACCOLTA DATI DI CONSUMO'!$D$11="Sì",$T55,$U55)*$T$64</f>
        <v>12.926027397260274</v>
      </c>
      <c r="M59" s="600">
        <f t="shared" si="26"/>
        <v>7.7519999999999998</v>
      </c>
      <c r="N59" s="601">
        <f t="shared" si="27"/>
        <v>12.601756498645276</v>
      </c>
      <c r="O59" s="601">
        <f t="shared" si="28"/>
        <v>0.34048444354574769</v>
      </c>
      <c r="P59" s="602">
        <f t="shared" si="30"/>
        <v>3.8372962645455182</v>
      </c>
      <c r="Q59" s="491"/>
      <c r="R59" s="491"/>
      <c r="S59" s="408"/>
      <c r="T59" s="488">
        <f>AVERAGE(T47:T58)</f>
        <v>1</v>
      </c>
      <c r="U59" s="488"/>
      <c r="Y59" s="292"/>
      <c r="Z59" s="292"/>
      <c r="AA59" s="197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J59" s="56">
        <f>CJ58+1</f>
        <v>43</v>
      </c>
      <c r="CK59" s="245">
        <v>4</v>
      </c>
      <c r="CL59" s="245" t="s">
        <v>66</v>
      </c>
      <c r="CM59" s="195">
        <v>1495.5</v>
      </c>
      <c r="CN59" s="196">
        <v>1356.4</v>
      </c>
      <c r="CO59" s="10">
        <v>1380</v>
      </c>
      <c r="CP59" s="195"/>
      <c r="CQ59" s="196"/>
      <c r="CS59" s="39"/>
      <c r="CT59" s="39"/>
      <c r="CU59" s="39"/>
      <c r="CV59" s="39"/>
      <c r="DG59" s="155"/>
      <c r="DQ59" s="38"/>
      <c r="DR59" s="38"/>
      <c r="DT59" s="255" t="s">
        <v>278</v>
      </c>
      <c r="DU59" s="311">
        <f>IF(AND($B$31="0",$B$12=0),"xxxx",EF58*EN59)</f>
        <v>0</v>
      </c>
      <c r="DV59" s="155"/>
      <c r="DW59" s="216"/>
      <c r="DX59" s="261">
        <f>DX58*EC54</f>
        <v>0</v>
      </c>
      <c r="DY59" s="262">
        <f>DY58*ED54</f>
        <v>0</v>
      </c>
      <c r="DZ59" s="262">
        <f>DZ58*EE54</f>
        <v>0</v>
      </c>
      <c r="EA59" s="263">
        <f>EA58*EF54</f>
        <v>0</v>
      </c>
      <c r="EB59" s="242">
        <f>SUM(DX59:EA59)</f>
        <v>0</v>
      </c>
      <c r="EC59" s="830" t="s">
        <v>280</v>
      </c>
      <c r="ED59" s="830"/>
      <c r="EE59" s="253" t="s">
        <v>279</v>
      </c>
      <c r="EF59" s="254">
        <v>0</v>
      </c>
      <c r="EG59" s="348"/>
      <c r="EJ59" s="156"/>
      <c r="EL59"/>
      <c r="EN59" s="388">
        <f>EN56*EN53</f>
        <v>0</v>
      </c>
      <c r="EO59" s="388"/>
      <c r="EP59" s="383"/>
      <c r="EQ59" s="380"/>
      <c r="ER59" s="380"/>
      <c r="ES59" s="380"/>
      <c r="ET59" s="380"/>
    </row>
    <row r="60" spans="1:150" ht="24.95" customHeight="1" thickBot="1">
      <c r="F60" s="599" t="str">
        <f t="shared" si="22"/>
        <v>ottobre</v>
      </c>
      <c r="G60" s="600">
        <f t="shared" si="23"/>
        <v>12.276051593543546</v>
      </c>
      <c r="H60" s="600">
        <f>AE16/31</f>
        <v>3.8411030065239569</v>
      </c>
      <c r="I60" s="601">
        <f t="shared" si="24"/>
        <v>7.5914537283176298</v>
      </c>
      <c r="J60" s="601">
        <f>'GUIDA dimensionamento ACCUMULO'!$B$33</f>
        <v>7.7519999999999998</v>
      </c>
      <c r="K60" s="601">
        <f t="shared" si="25"/>
        <v>7.5914537283176298</v>
      </c>
      <c r="L60" s="600">
        <f>IF('FOGLIO RACCOLTA DATI DI CONSUMO'!$D$11="Sì",$T56,$U56)*$T$64</f>
        <v>12.926027397260274</v>
      </c>
      <c r="M60" s="600">
        <f t="shared" si="26"/>
        <v>7.5914537283176298</v>
      </c>
      <c r="N60" s="601">
        <f t="shared" si="27"/>
        <v>11.432556734841587</v>
      </c>
      <c r="O60" s="601">
        <f t="shared" si="28"/>
        <v>1.6428177286605561</v>
      </c>
      <c r="P60" s="602">
        <f t="shared" si="30"/>
        <v>0.84349485870195906</v>
      </c>
      <c r="Q60" s="491"/>
      <c r="R60" s="491"/>
      <c r="S60" s="408"/>
      <c r="Y60" s="10"/>
      <c r="AB60" s="184"/>
      <c r="BB60" s="197"/>
      <c r="BE60" s="197"/>
      <c r="BF60" s="38"/>
      <c r="BH60" s="188"/>
      <c r="BI60" s="188"/>
      <c r="BL60" s="188"/>
      <c r="BT60" s="193"/>
      <c r="BU60" s="193"/>
      <c r="BV60" s="193"/>
      <c r="BW60" s="193"/>
      <c r="BX60" s="193"/>
      <c r="BY60" s="193"/>
      <c r="BZ60" s="193"/>
      <c r="CJ60" s="56">
        <f>CJ59+1</f>
        <v>44</v>
      </c>
      <c r="CK60" s="245">
        <v>4</v>
      </c>
      <c r="CL60" s="245" t="s">
        <v>67</v>
      </c>
      <c r="CM60" s="195">
        <v>1457.2</v>
      </c>
      <c r="CN60" s="196">
        <v>1386.4</v>
      </c>
      <c r="CO60" s="10">
        <v>1490</v>
      </c>
      <c r="CS60" s="39"/>
      <c r="CT60" s="39"/>
      <c r="CU60" s="39"/>
      <c r="CV60" s="39"/>
      <c r="DF60" s="250"/>
      <c r="DG60" s="350"/>
      <c r="DT60" s="255" t="s">
        <v>281</v>
      </c>
      <c r="DU60" s="311">
        <f>IF(AND($B$31="0",$B$12=0),"xxxx",EF59*DV54)</f>
        <v>0</v>
      </c>
      <c r="DV60" s="266"/>
      <c r="DW60" s="266"/>
      <c r="DX60" s="268"/>
      <c r="DY60" s="268"/>
      <c r="DZ60" s="155"/>
      <c r="EB60" s="156"/>
      <c r="EL60"/>
      <c r="EP60" s="38"/>
      <c r="EQ60" s="380"/>
      <c r="ER60" s="380"/>
      <c r="ES60" s="380"/>
      <c r="ET60" s="380"/>
    </row>
    <row r="61" spans="1:150" ht="24.95" customHeight="1" thickBot="1">
      <c r="A61" s="39"/>
      <c r="B61" s="39"/>
      <c r="F61" s="599" t="str">
        <f t="shared" si="22"/>
        <v>novembre</v>
      </c>
      <c r="G61" s="600">
        <f t="shared" si="23"/>
        <v>8.5431297824456109</v>
      </c>
      <c r="H61" s="600">
        <f>AE17/30</f>
        <v>3.0549647235560804</v>
      </c>
      <c r="I61" s="601">
        <f t="shared" si="24"/>
        <v>4.5002953482894146</v>
      </c>
      <c r="J61" s="601">
        <f>'GUIDA dimensionamento ACCUMULO'!$B$33</f>
        <v>7.7519999999999998</v>
      </c>
      <c r="K61" s="601">
        <f t="shared" si="25"/>
        <v>4.5002953482894146</v>
      </c>
      <c r="L61" s="600">
        <f>IF('FOGLIO RACCOLTA DATI DI CONSUMO'!$D$11="Sì",$T57,$U57)*$T$64</f>
        <v>12.926027397260274</v>
      </c>
      <c r="M61" s="600">
        <f t="shared" si="26"/>
        <v>4.5002953482894146</v>
      </c>
      <c r="N61" s="601">
        <f t="shared" si="27"/>
        <v>7.5552600718454954</v>
      </c>
      <c r="O61" s="601">
        <f t="shared" si="28"/>
        <v>6.1763824242269951</v>
      </c>
      <c r="P61" s="602">
        <f t="shared" si="30"/>
        <v>0.98786971060011552</v>
      </c>
      <c r="Q61" s="491"/>
      <c r="R61" s="491"/>
      <c r="S61" s="408"/>
      <c r="V61" s="38"/>
      <c r="W61" s="38"/>
      <c r="Y61" s="350"/>
      <c r="AB61" s="184"/>
      <c r="BC61" s="188"/>
      <c r="BD61" s="188"/>
      <c r="BE61" s="188"/>
      <c r="BF61" s="188"/>
      <c r="BG61" s="188"/>
      <c r="BH61" s="188"/>
      <c r="BI61" s="188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J61" s="56">
        <f>CJ60+1</f>
        <v>45</v>
      </c>
      <c r="CK61" s="245">
        <v>1</v>
      </c>
      <c r="CL61" s="245" t="s">
        <v>68</v>
      </c>
      <c r="CM61" s="195">
        <v>1157.3</v>
      </c>
      <c r="CN61" s="196">
        <v>1207.5</v>
      </c>
      <c r="CO61" s="10">
        <v>1180</v>
      </c>
      <c r="CR61" s="39"/>
      <c r="CS61" s="39"/>
      <c r="CT61" s="39"/>
      <c r="CU61" s="39"/>
      <c r="DT61" s="310" t="s">
        <v>282</v>
      </c>
      <c r="DU61" s="312">
        <f>IF(AND($B$31="0",$B$12=0),"xxxx",IF((DV61="Bioraria"),EB58,EB59))</f>
        <v>3.7892998260142945</v>
      </c>
      <c r="DV61" s="858" t="s">
        <v>283</v>
      </c>
      <c r="DW61" s="859"/>
      <c r="DX61" s="270" t="s">
        <v>284</v>
      </c>
      <c r="DY61" s="216"/>
      <c r="DZ61" s="860" t="s">
        <v>285</v>
      </c>
      <c r="EA61" s="861"/>
      <c r="EB61" s="271"/>
      <c r="EL61"/>
      <c r="EP61" s="38"/>
      <c r="EQ61" s="10"/>
      <c r="ER61" s="10"/>
      <c r="ES61" s="10"/>
      <c r="ET61" s="10"/>
    </row>
    <row r="62" spans="1:150" ht="24.95" customHeight="1" thickBot="1">
      <c r="A62" s="10"/>
      <c r="F62" s="599" t="str">
        <f t="shared" si="22"/>
        <v>dicembre</v>
      </c>
      <c r="G62" s="603">
        <f t="shared" si="23"/>
        <v>7.3280512063499739</v>
      </c>
      <c r="H62" s="603">
        <f>AE18/31</f>
        <v>3.0790416082908507</v>
      </c>
      <c r="I62" s="604">
        <f t="shared" si="24"/>
        <v>3.1867571985443424</v>
      </c>
      <c r="J62" s="604">
        <f>'GUIDA dimensionamento ACCUMULO'!$B$33</f>
        <v>7.7519999999999998</v>
      </c>
      <c r="K62" s="604">
        <f t="shared" si="25"/>
        <v>3.1867571985443424</v>
      </c>
      <c r="L62" s="603">
        <f>IF('FOGLIO RACCOLTA DATI DI CONSUMO'!$D$11="Sì",$T58,$U58)*$T$64</f>
        <v>12.926027397260274</v>
      </c>
      <c r="M62" s="603">
        <f t="shared" si="26"/>
        <v>3.1867571985443424</v>
      </c>
      <c r="N62" s="604">
        <f t="shared" si="27"/>
        <v>6.2657988068351926</v>
      </c>
      <c r="O62" s="604">
        <f t="shared" si="28"/>
        <v>7.9922743085100976</v>
      </c>
      <c r="P62" s="605">
        <f t="shared" si="30"/>
        <v>1.0622523995147812</v>
      </c>
      <c r="Q62" s="491"/>
      <c r="R62" s="491"/>
      <c r="S62" s="408"/>
      <c r="T62" s="38"/>
      <c r="U62" s="38"/>
      <c r="Y62" s="9"/>
      <c r="Z62" s="9"/>
      <c r="BB62" s="184"/>
      <c r="BC62" s="184"/>
      <c r="BH62" s="188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J62" s="56">
        <f t="shared" ref="CJ62:CJ82" si="32">CJ61+1</f>
        <v>46</v>
      </c>
      <c r="CK62" s="245">
        <v>3</v>
      </c>
      <c r="CL62" s="245" t="s">
        <v>69</v>
      </c>
      <c r="CM62" s="195">
        <v>1363.2</v>
      </c>
      <c r="CN62" s="196">
        <v>1312</v>
      </c>
      <c r="CO62" s="10">
        <v>1310</v>
      </c>
      <c r="CR62" s="39"/>
      <c r="CS62" s="39"/>
      <c r="CT62" s="39"/>
      <c r="CU62" s="39"/>
      <c r="DT62" s="310" t="s">
        <v>287</v>
      </c>
      <c r="DU62" s="311">
        <f>IF(AND($B$31="0",$B$12=0),'FOGLIO RACCOLTA DATI DI CONSUMO'!B19/1.1,SUM(DU57:DU61))</f>
        <v>16.181282291767715</v>
      </c>
      <c r="DV62" s="248"/>
      <c r="DW62" s="248"/>
      <c r="DX62" s="272">
        <v>0.1</v>
      </c>
      <c r="DY62" s="216"/>
      <c r="DZ62" s="863">
        <f>DU62*(1+DX62)</f>
        <v>17.799410520944488</v>
      </c>
      <c r="EA62" s="864"/>
      <c r="EB62" s="271"/>
      <c r="EL62"/>
      <c r="EP62" s="38"/>
      <c r="EQ62" s="10"/>
      <c r="ER62" s="10"/>
      <c r="ES62" s="10"/>
      <c r="ET62" s="10"/>
    </row>
    <row r="63" spans="1:150" ht="24.95" customHeight="1">
      <c r="A63" s="10"/>
      <c r="F63" s="521"/>
      <c r="G63" s="495"/>
      <c r="H63" s="475"/>
      <c r="I63" s="491"/>
      <c r="J63" s="193"/>
      <c r="K63" s="491"/>
      <c r="L63" s="292"/>
      <c r="M63" s="292"/>
      <c r="N63" s="292"/>
      <c r="O63" s="491"/>
      <c r="P63" s="491"/>
      <c r="Q63" s="491"/>
      <c r="R63" s="491"/>
      <c r="S63" s="408"/>
      <c r="T63" s="10"/>
      <c r="Y63" s="9"/>
      <c r="Z63" s="9"/>
      <c r="BB63" s="184"/>
      <c r="BC63" s="184"/>
      <c r="BD63" s="284"/>
      <c r="BG63" s="284"/>
      <c r="BM63" s="188"/>
      <c r="BN63" s="188"/>
      <c r="BO63" s="188"/>
      <c r="BP63" s="188"/>
      <c r="BQ63" s="188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56">
        <f t="shared" si="32"/>
        <v>47</v>
      </c>
      <c r="CK63" s="245">
        <v>1</v>
      </c>
      <c r="CL63" s="245" t="s">
        <v>70</v>
      </c>
      <c r="CM63" s="195">
        <v>1155.8</v>
      </c>
      <c r="CN63" s="196">
        <v>1257.7</v>
      </c>
      <c r="CO63" s="10">
        <v>1210</v>
      </c>
      <c r="CQ63" s="56"/>
      <c r="CR63" s="245"/>
      <c r="CS63" s="245"/>
      <c r="CT63" s="195"/>
      <c r="CU63" s="196"/>
      <c r="CY63" s="39"/>
      <c r="CZ63" s="39"/>
      <c r="DA63" s="39"/>
      <c r="DB63" s="39"/>
      <c r="EL63"/>
      <c r="EP63" s="38"/>
      <c r="EQ63" s="10"/>
      <c r="ER63" s="10"/>
      <c r="ES63" s="10"/>
      <c r="ET63" s="10"/>
    </row>
    <row r="64" spans="1:150" ht="24.95" customHeight="1">
      <c r="A64" s="10"/>
      <c r="F64" s="521"/>
      <c r="G64" s="491"/>
      <c r="H64" s="475"/>
      <c r="I64" s="491"/>
      <c r="J64" s="10"/>
      <c r="L64" s="557"/>
      <c r="M64" s="292"/>
      <c r="N64" s="292"/>
      <c r="O64" s="491"/>
      <c r="P64" s="491"/>
      <c r="T64" s="10">
        <f>$B$29/365</f>
        <v>12.926027397260274</v>
      </c>
      <c r="Y64" s="9"/>
      <c r="Z64" s="9"/>
      <c r="BB64" s="38"/>
      <c r="BC64" s="38"/>
      <c r="BF64" s="284"/>
      <c r="BH64" s="184"/>
      <c r="BI64" s="188"/>
      <c r="BK64" s="188"/>
      <c r="BL64" s="188"/>
      <c r="BM64" s="188"/>
      <c r="BN64" s="188"/>
      <c r="BO64" s="188"/>
      <c r="BP64" s="188"/>
      <c r="BQ64" s="188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56">
        <f t="shared" si="32"/>
        <v>48</v>
      </c>
      <c r="CK64" s="245">
        <v>2</v>
      </c>
      <c r="CL64" s="245" t="s">
        <v>71</v>
      </c>
      <c r="CM64" s="195">
        <v>1276.5</v>
      </c>
      <c r="CN64" s="196">
        <v>1285.7</v>
      </c>
      <c r="CO64" s="10">
        <v>1270</v>
      </c>
      <c r="CQ64" s="56"/>
      <c r="CR64" s="245"/>
      <c r="CS64" s="245"/>
      <c r="CT64" s="195"/>
      <c r="CU64" s="196"/>
      <c r="CY64" s="39"/>
      <c r="CZ64" s="39"/>
      <c r="DA64" s="39"/>
      <c r="DB64" s="39"/>
      <c r="EL64"/>
      <c r="EP64" s="38"/>
      <c r="EQ64" s="10"/>
      <c r="ER64" s="10"/>
      <c r="ES64" s="10"/>
      <c r="ET64" s="10"/>
    </row>
    <row r="65" spans="1:150" ht="24.95" customHeight="1">
      <c r="A65" s="10"/>
      <c r="F65" s="520"/>
      <c r="G65" s="496"/>
      <c r="H65" s="475"/>
      <c r="I65" s="491"/>
      <c r="J65" s="10"/>
      <c r="M65" s="593"/>
      <c r="N65" s="593"/>
      <c r="O65" s="491"/>
      <c r="P65" s="491"/>
      <c r="T65" s="10"/>
      <c r="Y65" s="9"/>
      <c r="Z65" s="9"/>
      <c r="BB65" s="38"/>
      <c r="BC65" s="38"/>
      <c r="BF65" s="284"/>
      <c r="BH65" s="184"/>
      <c r="BI65" s="188"/>
      <c r="BK65" s="188"/>
      <c r="BL65" s="188"/>
      <c r="BM65" s="188"/>
      <c r="BN65" s="188"/>
      <c r="BO65" s="188"/>
      <c r="BP65" s="188"/>
      <c r="BQ65" s="188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56">
        <f t="shared" si="32"/>
        <v>49</v>
      </c>
      <c r="CK65" s="245">
        <v>3</v>
      </c>
      <c r="CL65" s="245" t="s">
        <v>72</v>
      </c>
      <c r="CM65" s="195">
        <v>1350.6</v>
      </c>
      <c r="CN65" s="196">
        <v>1288</v>
      </c>
      <c r="CO65" s="10">
        <v>1370</v>
      </c>
      <c r="CQ65" s="56"/>
      <c r="CR65" s="245"/>
      <c r="CS65" s="245"/>
      <c r="CT65" s="195"/>
      <c r="CU65" s="196"/>
      <c r="CY65" s="38"/>
      <c r="CZ65" s="39"/>
      <c r="DA65" s="39"/>
      <c r="DB65" s="39"/>
      <c r="EL65"/>
      <c r="EP65" s="38"/>
      <c r="EQ65" s="10"/>
      <c r="ER65" s="10"/>
      <c r="ES65" s="10"/>
      <c r="ET65" s="10"/>
    </row>
    <row r="66" spans="1:150" ht="24.95" customHeight="1">
      <c r="A66" s="10"/>
      <c r="G66" s="491"/>
      <c r="H66" s="475"/>
      <c r="I66" s="491"/>
      <c r="J66" s="38"/>
      <c r="M66" s="593"/>
      <c r="O66" s="491"/>
      <c r="P66" s="491"/>
      <c r="T66" s="10"/>
      <c r="Y66" s="9"/>
      <c r="Z66" s="9"/>
      <c r="BB66" s="38"/>
      <c r="BC66" s="38"/>
      <c r="BF66" s="284"/>
      <c r="BH66" s="184"/>
      <c r="BI66" s="188"/>
      <c r="BK66" s="188"/>
      <c r="BL66" s="188"/>
      <c r="BM66" s="188"/>
      <c r="BN66" s="188"/>
      <c r="BO66" s="188"/>
      <c r="BP66" s="188"/>
      <c r="BQ66" s="188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56">
        <f>CJ65+1</f>
        <v>50</v>
      </c>
      <c r="CK66" s="245">
        <v>1</v>
      </c>
      <c r="CL66" s="245" t="s">
        <v>73</v>
      </c>
      <c r="CM66" s="195">
        <v>1157.9000000000001</v>
      </c>
      <c r="CN66" s="196">
        <v>1266.8</v>
      </c>
      <c r="CO66" s="10">
        <v>1170</v>
      </c>
      <c r="CP66" s="195"/>
      <c r="CQ66" s="196"/>
      <c r="CU66" s="38"/>
      <c r="CV66" s="39"/>
      <c r="CW66" s="39"/>
      <c r="CX66" s="39"/>
      <c r="EL66"/>
      <c r="EP66" s="38"/>
      <c r="EQ66" s="10"/>
      <c r="ER66" s="10"/>
      <c r="ES66" s="10"/>
      <c r="ET66" s="10"/>
    </row>
    <row r="67" spans="1:150" ht="24.95" customHeight="1" thickBot="1">
      <c r="A67" s="10"/>
      <c r="G67" s="491"/>
      <c r="H67" s="475"/>
      <c r="I67" s="491"/>
      <c r="J67" s="462"/>
      <c r="M67" s="593"/>
      <c r="N67" s="593"/>
      <c r="O67" s="491"/>
      <c r="P67" s="491"/>
      <c r="T67" s="10"/>
      <c r="V67" s="184"/>
      <c r="W67" s="184"/>
      <c r="Y67" s="9"/>
      <c r="Z67" s="9"/>
      <c r="BB67" s="38"/>
      <c r="BC67" s="38"/>
      <c r="BD67" s="38"/>
      <c r="BF67" s="10"/>
      <c r="BG67" s="10"/>
      <c r="BH67" s="284"/>
      <c r="BI67" s="188"/>
      <c r="BK67" s="188"/>
      <c r="BL67" s="188"/>
      <c r="BM67" s="188"/>
      <c r="BN67" s="188"/>
      <c r="BO67" s="188"/>
      <c r="BP67" s="188"/>
      <c r="BQ67" s="188"/>
      <c r="BX67" s="193"/>
      <c r="BY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56">
        <f t="shared" si="32"/>
        <v>51</v>
      </c>
      <c r="CK67" s="245">
        <v>2</v>
      </c>
      <c r="CL67" s="245" t="s">
        <v>74</v>
      </c>
      <c r="CM67" s="195">
        <v>1300.8</v>
      </c>
      <c r="CN67" s="196">
        <v>1274.2</v>
      </c>
      <c r="CO67" s="10">
        <v>1270</v>
      </c>
      <c r="CP67" s="195"/>
      <c r="CQ67" s="196"/>
      <c r="CU67" s="39"/>
      <c r="CV67" s="38"/>
      <c r="CW67" s="38"/>
      <c r="CX67" s="38"/>
      <c r="EL67"/>
      <c r="EP67" s="38"/>
      <c r="EQ67" s="10"/>
      <c r="ER67" s="10"/>
      <c r="ES67" s="10"/>
      <c r="ET67" s="10"/>
    </row>
    <row r="68" spans="1:150" ht="24.95" customHeight="1" thickTop="1" thickBot="1">
      <c r="A68" s="10"/>
      <c r="H68" s="292"/>
      <c r="J68" s="485"/>
      <c r="M68" s="593"/>
      <c r="N68" s="593"/>
      <c r="Q68" s="497"/>
      <c r="R68" s="497"/>
      <c r="T68" s="184"/>
      <c r="U68" s="184"/>
      <c r="Y68" s="9"/>
      <c r="Z68" s="9"/>
      <c r="BB68" s="38"/>
      <c r="BC68" s="38"/>
      <c r="BD68" s="38"/>
      <c r="BF68" s="10"/>
      <c r="BG68" s="10"/>
      <c r="BH68" s="284"/>
      <c r="BI68" s="188"/>
      <c r="BK68" s="188"/>
      <c r="BL68" s="188"/>
      <c r="BM68" s="188"/>
      <c r="BN68" s="188"/>
      <c r="BO68" s="188"/>
      <c r="BP68" s="188"/>
      <c r="BQ68" s="188"/>
      <c r="BX68" s="193"/>
      <c r="BY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56">
        <f t="shared" si="32"/>
        <v>52</v>
      </c>
      <c r="CK68" s="245">
        <v>3</v>
      </c>
      <c r="CL68" s="245" t="s">
        <v>75</v>
      </c>
      <c r="CM68" s="195">
        <v>1407</v>
      </c>
      <c r="CN68" s="196">
        <v>1361.9</v>
      </c>
      <c r="CO68" s="10">
        <v>1480</v>
      </c>
      <c r="CP68" s="195"/>
      <c r="CQ68" s="196"/>
      <c r="CU68" s="39"/>
      <c r="CV68" s="38"/>
      <c r="CW68" s="38"/>
      <c r="CX68" s="38"/>
      <c r="DI68" s="538"/>
      <c r="DJ68" s="538"/>
      <c r="DT68" s="831" t="s">
        <v>264</v>
      </c>
      <c r="DU68" s="831"/>
      <c r="DV68" s="204" t="s">
        <v>265</v>
      </c>
      <c r="DW68" s="205">
        <v>62</v>
      </c>
      <c r="DX68" s="832" t="s">
        <v>266</v>
      </c>
      <c r="DY68" s="832"/>
      <c r="DZ68" s="204" t="s">
        <v>265</v>
      </c>
      <c r="EA68" s="205">
        <v>62</v>
      </c>
      <c r="EB68" s="206"/>
      <c r="EC68" s="833" t="s">
        <v>267</v>
      </c>
      <c r="ED68" s="878"/>
      <c r="EE68" s="878"/>
      <c r="EF68" s="878"/>
      <c r="EL68"/>
      <c r="EM68" s="383" t="s">
        <v>403</v>
      </c>
      <c r="EN68" s="383"/>
      <c r="EO68" s="383"/>
      <c r="EP68" s="383"/>
      <c r="ER68" s="375"/>
      <c r="ES68" s="380"/>
      <c r="ET68" s="380"/>
    </row>
    <row r="69" spans="1:150" ht="24.95" customHeight="1" thickBot="1">
      <c r="A69" s="10"/>
      <c r="F69" s="522"/>
      <c r="H69" s="292"/>
      <c r="J69" s="462"/>
      <c r="M69" s="593"/>
      <c r="N69" s="593"/>
      <c r="Q69" s="497"/>
      <c r="R69" s="497"/>
      <c r="Y69" s="9"/>
      <c r="Z69" s="9"/>
      <c r="AK69" s="38"/>
      <c r="BB69" s="38"/>
      <c r="BC69" s="38"/>
      <c r="BD69" s="38"/>
      <c r="BF69" s="10"/>
      <c r="BG69" s="10"/>
      <c r="BH69" s="284"/>
      <c r="BI69" s="188"/>
      <c r="BK69" s="188"/>
      <c r="BL69" s="188"/>
      <c r="BM69" s="188"/>
      <c r="BN69" s="188"/>
      <c r="BO69" s="188"/>
      <c r="BP69" s="188"/>
      <c r="BQ69" s="188"/>
      <c r="BX69" s="193"/>
      <c r="BY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56">
        <f t="shared" si="32"/>
        <v>53</v>
      </c>
      <c r="CK69" s="245">
        <v>4</v>
      </c>
      <c r="CL69" s="245" t="s">
        <v>76</v>
      </c>
      <c r="CM69" s="195">
        <v>1525.6</v>
      </c>
      <c r="CN69" s="196">
        <v>1398.2</v>
      </c>
      <c r="CO69" s="10">
        <v>1500</v>
      </c>
      <c r="CP69" s="195"/>
      <c r="CQ69" s="196"/>
      <c r="CU69" s="38"/>
      <c r="CV69" s="38"/>
      <c r="CW69" s="38"/>
      <c r="CX69" s="38"/>
      <c r="DI69" s="539"/>
      <c r="DJ69" s="540"/>
      <c r="DT69" s="297" t="s">
        <v>196</v>
      </c>
      <c r="DU69" s="298" t="s">
        <v>197</v>
      </c>
      <c r="DV69" s="207" t="s">
        <v>268</v>
      </c>
      <c r="DW69" s="208">
        <v>0.17260273972602741</v>
      </c>
      <c r="DX69" s="209"/>
      <c r="DY69" s="209"/>
      <c r="DZ69" s="207" t="s">
        <v>268</v>
      </c>
      <c r="EA69" s="210">
        <f>EA68/365</f>
        <v>0.16986301369863013</v>
      </c>
      <c r="EB69" s="155"/>
      <c r="EC69" s="155" t="s">
        <v>253</v>
      </c>
      <c r="ED69" s="155" t="s">
        <v>254</v>
      </c>
      <c r="EE69" s="155" t="s">
        <v>255</v>
      </c>
      <c r="EF69" s="155" t="s">
        <v>256</v>
      </c>
      <c r="EL69"/>
      <c r="EN69" s="384" t="s">
        <v>404</v>
      </c>
      <c r="EO69" s="384" t="s">
        <v>405</v>
      </c>
      <c r="ER69" s="375">
        <v>365</v>
      </c>
      <c r="ES69" s="380"/>
      <c r="ET69" s="380"/>
    </row>
    <row r="70" spans="1:150" ht="24.95" customHeight="1" thickBot="1">
      <c r="A70" s="10"/>
      <c r="H70" s="292"/>
      <c r="J70" s="462"/>
      <c r="M70" s="593"/>
      <c r="N70" s="593"/>
      <c r="Q70" s="497"/>
      <c r="R70" s="497"/>
      <c r="Y70" s="9"/>
      <c r="Z70" s="9"/>
      <c r="BB70" s="38"/>
      <c r="BC70" s="38"/>
      <c r="BD70" s="38"/>
      <c r="BF70" s="10"/>
      <c r="BG70" s="10"/>
      <c r="BH70" s="284"/>
      <c r="BI70" s="188"/>
      <c r="BK70" s="188"/>
      <c r="BL70" s="188"/>
      <c r="BM70" s="188"/>
      <c r="BN70" s="188"/>
      <c r="BO70" s="188"/>
      <c r="BP70" s="188"/>
      <c r="BQ70" s="188"/>
      <c r="BX70" s="193"/>
      <c r="BY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56">
        <f t="shared" si="32"/>
        <v>54</v>
      </c>
      <c r="CK70" s="245">
        <v>1</v>
      </c>
      <c r="CL70" s="245" t="s">
        <v>77</v>
      </c>
      <c r="CM70" s="195">
        <v>1161.7</v>
      </c>
      <c r="CN70" s="196">
        <v>1249.5</v>
      </c>
      <c r="CO70" s="10">
        <v>1230</v>
      </c>
      <c r="CP70" s="195"/>
      <c r="CQ70" s="196"/>
      <c r="CU70" s="38"/>
      <c r="CV70" s="38"/>
      <c r="CW70" s="38"/>
      <c r="CX70" s="38"/>
      <c r="DI70" s="541"/>
      <c r="DJ70" s="542"/>
      <c r="DT70" s="299" t="s">
        <v>269</v>
      </c>
      <c r="DU70" s="299" t="s">
        <v>270</v>
      </c>
      <c r="DV70" s="155" t="s">
        <v>271</v>
      </c>
      <c r="DW70" s="155"/>
      <c r="DX70" s="212" t="s">
        <v>253</v>
      </c>
      <c r="DY70" s="212" t="s">
        <v>254</v>
      </c>
      <c r="DZ70" s="213" t="s">
        <v>255</v>
      </c>
      <c r="EA70" s="213" t="s">
        <v>256</v>
      </c>
      <c r="EB70" s="155"/>
      <c r="EC70" s="214">
        <v>1800</v>
      </c>
      <c r="ED70" s="214">
        <v>2640</v>
      </c>
      <c r="EE70" s="214">
        <v>4440</v>
      </c>
      <c r="EF70" s="214"/>
      <c r="EL70"/>
      <c r="EN70" s="387">
        <f>EA68</f>
        <v>62</v>
      </c>
      <c r="EO70" s="387">
        <f>DV74</f>
        <v>2.1254306577819548</v>
      </c>
      <c r="ER70" s="375">
        <v>365</v>
      </c>
      <c r="ES70" s="380"/>
      <c r="ET70" s="380"/>
    </row>
    <row r="71" spans="1:150" ht="24.95" customHeight="1" thickBot="1">
      <c r="A71" s="10"/>
      <c r="F71" s="523"/>
      <c r="H71" s="292"/>
      <c r="J71" s="10"/>
      <c r="M71" s="593"/>
      <c r="N71" s="593"/>
      <c r="Q71" s="497"/>
      <c r="R71" s="497"/>
      <c r="Y71" s="9"/>
      <c r="Z71" s="9"/>
      <c r="BB71" s="38"/>
      <c r="BC71" s="38"/>
      <c r="BD71" s="38"/>
      <c r="BF71" s="10"/>
      <c r="BG71" s="10"/>
      <c r="BH71" s="284"/>
      <c r="BI71" s="188"/>
      <c r="BK71" s="188"/>
      <c r="BL71" s="188"/>
      <c r="BM71" s="188"/>
      <c r="BN71" s="188"/>
      <c r="BO71" s="188"/>
      <c r="BP71" s="188"/>
      <c r="BQ71" s="188"/>
      <c r="BX71" s="193"/>
      <c r="BY71" s="193"/>
      <c r="CB71" s="193"/>
      <c r="CJ71" s="56">
        <f t="shared" si="32"/>
        <v>55</v>
      </c>
      <c r="CK71" s="245">
        <v>2</v>
      </c>
      <c r="CL71" s="245" t="s">
        <v>78</v>
      </c>
      <c r="CM71" s="195">
        <v>1255.8</v>
      </c>
      <c r="CN71" s="196">
        <v>1270.5999999999999</v>
      </c>
      <c r="CO71" s="10">
        <v>1250</v>
      </c>
      <c r="CP71" s="195"/>
      <c r="CQ71" s="196"/>
      <c r="DI71" s="543"/>
      <c r="DJ71" s="544"/>
      <c r="DT71" s="300">
        <v>3971</v>
      </c>
      <c r="DU71" s="301"/>
      <c r="DV71" s="215">
        <f>IF(AND($B$31="0",$B$12=0),"xxxx",2/100*($BG$13+$BG$14))</f>
        <v>4.2508613155639099E-2</v>
      </c>
      <c r="DW71" s="216"/>
      <c r="DX71" s="217">
        <f>(DV71*DX78)/DV74</f>
        <v>4.2508613155639099E-2</v>
      </c>
      <c r="DY71" s="217">
        <f>(DV71*DY78)/DV74</f>
        <v>0</v>
      </c>
      <c r="DZ71" s="217">
        <f>(DV71*DZ78)/DV74</f>
        <v>0</v>
      </c>
      <c r="EA71" s="217">
        <f>(DV71*EA78)/DV74</f>
        <v>0</v>
      </c>
      <c r="EB71" s="218"/>
      <c r="EC71" s="219">
        <f t="shared" ref="EC71:EF72" si="33">EC12</f>
        <v>0.11321200000000001</v>
      </c>
      <c r="ED71" s="219">
        <f t="shared" si="33"/>
        <v>0.16523199999999999</v>
      </c>
      <c r="EE71" s="219">
        <f t="shared" si="33"/>
        <v>0.23802200000000001</v>
      </c>
      <c r="EF71" s="219">
        <f t="shared" si="33"/>
        <v>0.23802200000000001</v>
      </c>
      <c r="EL71"/>
      <c r="EN71" s="385">
        <f>EA68</f>
        <v>62</v>
      </c>
      <c r="EO71" s="385">
        <f>DV74</f>
        <v>2.1254306577819548</v>
      </c>
      <c r="ER71" s="375"/>
      <c r="ES71" s="380"/>
      <c r="ET71" s="380"/>
    </row>
    <row r="72" spans="1:150" ht="24.95" customHeight="1" thickBot="1">
      <c r="A72" s="10"/>
      <c r="F72" s="500"/>
      <c r="H72" s="292"/>
      <c r="J72" s="184"/>
      <c r="M72" s="593"/>
      <c r="N72" s="593"/>
      <c r="O72" s="497"/>
      <c r="P72" s="497"/>
      <c r="Q72" s="497"/>
      <c r="R72" s="497"/>
      <c r="Y72" s="9"/>
      <c r="Z72" s="9"/>
      <c r="AA72" s="171"/>
      <c r="AB72" s="171"/>
      <c r="BB72" s="38"/>
      <c r="BC72" s="38"/>
      <c r="BD72" s="38"/>
      <c r="BF72" s="10"/>
      <c r="BG72" s="10"/>
      <c r="BH72" s="284"/>
      <c r="BI72" s="188"/>
      <c r="BK72" s="188"/>
      <c r="BL72" s="188"/>
      <c r="BM72" s="188"/>
      <c r="BN72" s="188"/>
      <c r="BO72" s="188"/>
      <c r="BP72" s="188"/>
      <c r="BQ72" s="188"/>
      <c r="BX72" s="193"/>
      <c r="BY72" s="193"/>
      <c r="CB72" s="193"/>
      <c r="CJ72" s="56">
        <f t="shared" si="32"/>
        <v>56</v>
      </c>
      <c r="CK72" s="245">
        <v>4</v>
      </c>
      <c r="CL72" s="245" t="s">
        <v>79</v>
      </c>
      <c r="CM72" s="195">
        <v>1485.2</v>
      </c>
      <c r="CN72" s="196">
        <v>1366.6</v>
      </c>
      <c r="CO72" s="10">
        <v>1380</v>
      </c>
      <c r="CP72" s="195"/>
      <c r="CQ72" s="196"/>
      <c r="DI72" s="545"/>
      <c r="DJ72" s="544"/>
      <c r="DT72" s="302">
        <v>5469</v>
      </c>
      <c r="DU72" s="303"/>
      <c r="DV72" s="215">
        <f>IF(AND($B$31="0",$B$12=0),"xxxx",BO$6/100*($BG$13+$BG$14))</f>
        <v>0.21254306577819548</v>
      </c>
      <c r="DW72" s="216"/>
      <c r="DX72" s="225">
        <f>(DV72*DX78)/DV74</f>
        <v>0.21254306577819548</v>
      </c>
      <c r="DY72" s="225">
        <f>(DV72*DY78)/DV74</f>
        <v>0</v>
      </c>
      <c r="DZ72" s="225">
        <f>(DV72*DZ78)/DV74</f>
        <v>0</v>
      </c>
      <c r="EA72" s="225">
        <f>(DV72*EA78)/DV74</f>
        <v>0</v>
      </c>
      <c r="EB72" s="218"/>
      <c r="EC72" s="219">
        <f t="shared" si="33"/>
        <v>0.106492</v>
      </c>
      <c r="ED72" s="219">
        <f t="shared" si="33"/>
        <v>0.15851199999999999</v>
      </c>
      <c r="EE72" s="219">
        <f t="shared" si="33"/>
        <v>0.23130200000000001</v>
      </c>
      <c r="EF72" s="219">
        <f t="shared" si="33"/>
        <v>0.23130200000000001</v>
      </c>
      <c r="EL72"/>
      <c r="ER72" s="375" t="s">
        <v>412</v>
      </c>
      <c r="ES72" s="380"/>
      <c r="ET72" s="380"/>
    </row>
    <row r="73" spans="1:150" ht="24.95" customHeight="1" thickBot="1">
      <c r="A73" s="10"/>
      <c r="H73" s="292"/>
      <c r="J73" s="10"/>
      <c r="M73" s="593"/>
      <c r="N73" s="593"/>
      <c r="O73" s="497"/>
      <c r="P73" s="497"/>
      <c r="Q73" s="497"/>
      <c r="R73" s="497"/>
      <c r="Y73" s="9"/>
      <c r="Z73" s="9"/>
      <c r="AA73" s="171"/>
      <c r="AB73" s="171"/>
      <c r="BB73" s="38"/>
      <c r="BC73" s="38"/>
      <c r="BD73" s="38"/>
      <c r="BF73" s="10"/>
      <c r="BG73" s="10"/>
      <c r="BH73" s="284"/>
      <c r="BI73" s="188"/>
      <c r="BK73" s="188"/>
      <c r="BL73" s="188"/>
      <c r="BM73" s="188"/>
      <c r="BN73" s="188"/>
      <c r="BO73" s="188"/>
      <c r="BP73" s="188"/>
      <c r="BQ73" s="188"/>
      <c r="BX73" s="193"/>
      <c r="BY73" s="193"/>
      <c r="CB73" s="193"/>
      <c r="CJ73" s="56">
        <f t="shared" si="32"/>
        <v>57</v>
      </c>
      <c r="CK73" s="245">
        <v>1</v>
      </c>
      <c r="CL73" s="245" t="s">
        <v>80</v>
      </c>
      <c r="CM73" s="195">
        <v>1189.9000000000001</v>
      </c>
      <c r="CN73" s="196">
        <v>1249.5999999999999</v>
      </c>
      <c r="CO73" s="10">
        <v>1250</v>
      </c>
      <c r="CP73" s="195"/>
      <c r="CQ73" s="196"/>
      <c r="DI73" s="546"/>
      <c r="DJ73" s="544"/>
      <c r="DT73" s="304">
        <v>7624</v>
      </c>
      <c r="DU73" s="305"/>
      <c r="DV73" s="215">
        <f>IF(AND($B$31="0",$B$12=0),"xxxx",88/100*($BG$13+$BG$14))</f>
        <v>1.8703789788481202</v>
      </c>
      <c r="DW73" s="216"/>
      <c r="DX73" s="225">
        <f>(DV73*DX78)/DV74</f>
        <v>1.8703789788481202</v>
      </c>
      <c r="DY73" s="225">
        <f>(DV73*DY78)/DV74</f>
        <v>0</v>
      </c>
      <c r="DZ73" s="225">
        <f>(DV73*DZ78)/DV74</f>
        <v>0</v>
      </c>
      <c r="EA73" s="225">
        <f>(DV73*EA78)/DV74</f>
        <v>0</v>
      </c>
      <c r="EB73" s="218"/>
      <c r="EC73" s="229">
        <f>EC72</f>
        <v>0.106492</v>
      </c>
      <c r="ED73" s="230">
        <f>ED72</f>
        <v>0.15851199999999999</v>
      </c>
      <c r="EE73" s="230">
        <f>EE72</f>
        <v>0.23130200000000001</v>
      </c>
      <c r="EF73" s="231">
        <f>EF72</f>
        <v>0.23130200000000001</v>
      </c>
      <c r="EL73"/>
      <c r="EN73" s="377">
        <f>EN71/ER73</f>
        <v>2.0383561643835617</v>
      </c>
      <c r="EO73" s="377" t="s">
        <v>406</v>
      </c>
      <c r="ER73" s="375">
        <f>365/12</f>
        <v>30.416666666666668</v>
      </c>
      <c r="ES73" s="380"/>
      <c r="ET73" s="380"/>
    </row>
    <row r="74" spans="1:150" ht="24.95" customHeight="1" thickBot="1">
      <c r="A74" s="10"/>
      <c r="H74" s="292"/>
      <c r="J74" s="10"/>
      <c r="M74" s="593"/>
      <c r="N74" s="593"/>
      <c r="O74" s="497"/>
      <c r="P74" s="497"/>
      <c r="Q74" s="497"/>
      <c r="R74" s="497"/>
      <c r="Y74" s="9"/>
      <c r="Z74" s="9"/>
      <c r="AA74" s="171"/>
      <c r="AB74" s="171"/>
      <c r="BB74" s="38"/>
      <c r="BC74" s="38"/>
      <c r="BD74" s="38"/>
      <c r="BF74" s="10"/>
      <c r="BG74" s="10"/>
      <c r="BH74" s="284"/>
      <c r="BI74" s="188"/>
      <c r="BK74" s="188"/>
      <c r="BL74" s="188"/>
      <c r="BM74" s="188"/>
      <c r="BN74" s="188"/>
      <c r="BO74" s="188"/>
      <c r="BP74" s="188"/>
      <c r="BQ74" s="188"/>
      <c r="BX74" s="193"/>
      <c r="BY74" s="193"/>
      <c r="CJ74" s="56">
        <f t="shared" si="32"/>
        <v>58</v>
      </c>
      <c r="CK74" s="245">
        <v>4</v>
      </c>
      <c r="CL74" s="245" t="s">
        <v>81</v>
      </c>
      <c r="CM74" s="195">
        <v>1473.5</v>
      </c>
      <c r="CN74" s="196">
        <v>1384.9</v>
      </c>
      <c r="CO74" s="10">
        <v>1540</v>
      </c>
      <c r="CP74" s="195"/>
      <c r="CQ74" s="196"/>
      <c r="DI74" s="547"/>
      <c r="DJ74" s="548"/>
      <c r="DT74" s="306">
        <f>SUM(DT71:DT73)</f>
        <v>17064</v>
      </c>
      <c r="DU74" s="306">
        <f>SUM(DU71:DU73)</f>
        <v>0</v>
      </c>
      <c r="DV74" s="156">
        <f>IF(SUM(DV71:DV73)=0,0.001,SUM(DV71:DV73))</f>
        <v>2.1254306577819548</v>
      </c>
      <c r="DW74" s="155"/>
      <c r="DX74" s="233">
        <f>EC70*EA69</f>
        <v>305.75342465753425</v>
      </c>
      <c r="DY74" s="233">
        <f>ED70*EA69</f>
        <v>448.43835616438355</v>
      </c>
      <c r="DZ74" s="233">
        <f>EE70*EA69</f>
        <v>754.19178082191775</v>
      </c>
      <c r="EA74" s="233"/>
      <c r="EB74" s="234"/>
      <c r="EC74" s="235"/>
      <c r="ED74" s="236"/>
      <c r="EE74" s="236"/>
      <c r="EF74" s="237"/>
      <c r="EL74"/>
      <c r="EN74" s="377">
        <f>EO71/EN73</f>
        <v>1.0427179974333514</v>
      </c>
      <c r="EO74" s="377" t="s">
        <v>407</v>
      </c>
      <c r="ES74" s="380"/>
      <c r="ET74" s="380"/>
    </row>
    <row r="75" spans="1:150" ht="24.95" customHeight="1" thickBot="1">
      <c r="A75" s="10"/>
      <c r="H75" s="292"/>
      <c r="J75" s="10"/>
      <c r="M75" s="593"/>
      <c r="N75" s="593"/>
      <c r="O75" s="497"/>
      <c r="P75" s="497"/>
      <c r="Q75" s="497"/>
      <c r="R75" s="497"/>
      <c r="Y75" s="9"/>
      <c r="Z75" s="9"/>
      <c r="AA75" s="171"/>
      <c r="AB75" s="171"/>
      <c r="AI75" s="38"/>
      <c r="AJ75" s="38"/>
      <c r="BB75" s="38"/>
      <c r="BC75" s="38"/>
      <c r="BD75" s="38"/>
      <c r="BF75" s="10"/>
      <c r="BG75" s="10"/>
      <c r="BH75" s="284"/>
      <c r="BI75" s="188"/>
      <c r="BK75" s="188"/>
      <c r="BL75" s="188"/>
      <c r="BM75" s="188"/>
      <c r="BN75" s="188"/>
      <c r="BO75" s="188"/>
      <c r="BP75" s="188"/>
      <c r="BQ75" s="188"/>
      <c r="BX75" s="193"/>
      <c r="BY75" s="193"/>
      <c r="CA75" s="193"/>
      <c r="CJ75" s="56">
        <f t="shared" si="32"/>
        <v>59</v>
      </c>
      <c r="CK75" s="245">
        <v>4</v>
      </c>
      <c r="CL75" s="245" t="s">
        <v>82</v>
      </c>
      <c r="CM75" s="195">
        <v>1471.4</v>
      </c>
      <c r="CN75" s="196">
        <v>1405.1</v>
      </c>
      <c r="CO75" s="10">
        <v>1500</v>
      </c>
      <c r="CP75" s="195"/>
      <c r="CQ75" s="196"/>
      <c r="DI75" s="549"/>
      <c r="DJ75" s="550"/>
      <c r="DT75" s="307" t="s">
        <v>273</v>
      </c>
      <c r="DU75" s="308">
        <f>IF($B$31="0",'FOGLIO RACCOLTA DATI DI CONSUMO'!$B$14,IF($BG$20&lt;3000,3,'FOGLIO RACCOLTA DATI DI CONSUMO'!$B$14))</f>
        <v>3</v>
      </c>
      <c r="DV75" s="238"/>
      <c r="DW75" s="216"/>
      <c r="DX75" s="239">
        <f t="shared" ref="DX75:EA77" si="34">DX71*EC71</f>
        <v>4.812485112576214E-3</v>
      </c>
      <c r="DY75" s="240">
        <f t="shared" si="34"/>
        <v>0</v>
      </c>
      <c r="DZ75" s="240">
        <f t="shared" si="34"/>
        <v>0</v>
      </c>
      <c r="EA75" s="241">
        <f t="shared" si="34"/>
        <v>0</v>
      </c>
      <c r="EB75" s="242">
        <f>SUM(DX75:EA75)</f>
        <v>4.812485112576214E-3</v>
      </c>
      <c r="EC75" s="243"/>
      <c r="ED75" s="243"/>
      <c r="EE75" s="243"/>
      <c r="EF75" s="244"/>
      <c r="EL75"/>
      <c r="EN75" s="377">
        <f>IF(EN74&gt;370,0,IF(EN74&gt;220,150-(EN74-220),150))</f>
        <v>150</v>
      </c>
      <c r="EO75" s="377" t="s">
        <v>408</v>
      </c>
      <c r="ES75" s="380"/>
      <c r="ET75" s="380"/>
    </row>
    <row r="76" spans="1:150" ht="24.95" customHeight="1" thickBot="1">
      <c r="A76" s="10"/>
      <c r="H76" s="292"/>
      <c r="J76" s="10"/>
      <c r="M76" s="593"/>
      <c r="N76" s="593"/>
      <c r="O76" s="497"/>
      <c r="P76" s="497"/>
      <c r="Q76" s="497"/>
      <c r="R76" s="497"/>
      <c r="Y76" s="9"/>
      <c r="Z76" s="9"/>
      <c r="AA76" s="171"/>
      <c r="AB76" s="171"/>
      <c r="BB76" s="38"/>
      <c r="BC76" s="38"/>
      <c r="BD76" s="38"/>
      <c r="BF76" s="10"/>
      <c r="BG76" s="10"/>
      <c r="BH76" s="284"/>
      <c r="BI76" s="188"/>
      <c r="BK76" s="188"/>
      <c r="BL76" s="188"/>
      <c r="BM76" s="188"/>
      <c r="BN76" s="188"/>
      <c r="BO76" s="188"/>
      <c r="BP76" s="188"/>
      <c r="BQ76" s="188"/>
      <c r="BX76" s="193"/>
      <c r="BY76" s="193"/>
      <c r="CA76" s="193"/>
      <c r="CJ76" s="56">
        <f t="shared" si="32"/>
        <v>60</v>
      </c>
      <c r="CK76" s="245">
        <v>1</v>
      </c>
      <c r="CL76" s="245" t="s">
        <v>83</v>
      </c>
      <c r="CM76" s="195">
        <v>1145.0999999999999</v>
      </c>
      <c r="CN76" s="196">
        <v>1256.5999999999999</v>
      </c>
      <c r="CO76" s="10">
        <v>1180</v>
      </c>
      <c r="CP76" s="195"/>
      <c r="CQ76" s="196"/>
      <c r="DI76" s="551"/>
      <c r="DJ76" s="542"/>
      <c r="DT76" s="309"/>
      <c r="DU76" s="309"/>
      <c r="DV76" s="155"/>
      <c r="DW76" s="216"/>
      <c r="DX76" s="249">
        <f t="shared" si="34"/>
        <v>2.2634136160851595E-2</v>
      </c>
      <c r="DY76" s="250">
        <f t="shared" si="34"/>
        <v>0</v>
      </c>
      <c r="DZ76" s="250">
        <f t="shared" si="34"/>
        <v>0</v>
      </c>
      <c r="EA76" s="251">
        <f t="shared" si="34"/>
        <v>0</v>
      </c>
      <c r="EB76" s="242">
        <f>SUM(DX76:EA76)</f>
        <v>2.2634136160851595E-2</v>
      </c>
      <c r="EC76" s="252" t="s">
        <v>274</v>
      </c>
      <c r="ED76" s="252"/>
      <c r="EE76" s="253" t="s">
        <v>275</v>
      </c>
      <c r="EF76" s="254">
        <f>$EF$17</f>
        <v>42.784799999999997</v>
      </c>
      <c r="EL76"/>
      <c r="EN76" s="377">
        <f>IF(EN74&gt;EN75,EN74-EN75,0)</f>
        <v>0</v>
      </c>
      <c r="EO76" s="377" t="s">
        <v>409</v>
      </c>
      <c r="ES76" s="380"/>
      <c r="ET76" s="380"/>
    </row>
    <row r="77" spans="1:150" ht="24.95" customHeight="1" thickBot="1">
      <c r="A77" s="10"/>
      <c r="H77" s="292"/>
      <c r="J77" s="10"/>
      <c r="M77" s="593"/>
      <c r="N77" s="593"/>
      <c r="O77" s="497"/>
      <c r="P77" s="497"/>
      <c r="Q77" s="497"/>
      <c r="R77" s="497"/>
      <c r="Y77" s="9"/>
      <c r="Z77" s="9"/>
      <c r="AA77" s="171"/>
      <c r="AB77" s="171"/>
      <c r="BB77" s="38"/>
      <c r="BC77" s="38"/>
      <c r="BD77" s="38"/>
      <c r="BF77" s="10"/>
      <c r="BG77" s="10"/>
      <c r="BH77" s="284"/>
      <c r="BI77" s="188"/>
      <c r="BK77" s="188"/>
      <c r="BL77" s="188"/>
      <c r="BM77" s="188"/>
      <c r="BN77" s="188"/>
      <c r="BO77" s="188"/>
      <c r="BP77" s="188"/>
      <c r="BQ77" s="188"/>
      <c r="BX77" s="193"/>
      <c r="BY77" s="193"/>
      <c r="CA77" s="184"/>
      <c r="CB77" s="184"/>
      <c r="CJ77" s="56">
        <f t="shared" si="32"/>
        <v>61</v>
      </c>
      <c r="CK77" s="245">
        <v>5</v>
      </c>
      <c r="CL77" s="245" t="s">
        <v>84</v>
      </c>
      <c r="CM77" s="195">
        <v>1580.6</v>
      </c>
      <c r="CN77" s="196">
        <v>1430.5</v>
      </c>
      <c r="CO77" s="10">
        <v>1540</v>
      </c>
      <c r="CP77" s="195"/>
      <c r="CQ77" s="196"/>
      <c r="DI77" s="552"/>
      <c r="DJ77" s="542"/>
      <c r="DT77" s="310" t="s">
        <v>274</v>
      </c>
      <c r="DU77" s="311">
        <f>IF(AND($B$31="0",$B$12=0),"xxxx",EF76*EA69)</f>
        <v>7.2675550684931496</v>
      </c>
      <c r="DV77" s="155"/>
      <c r="DW77" s="216"/>
      <c r="DX77" s="256">
        <f t="shared" si="34"/>
        <v>0.19918039821549402</v>
      </c>
      <c r="DY77" s="257">
        <f t="shared" si="34"/>
        <v>0</v>
      </c>
      <c r="DZ77" s="257">
        <f t="shared" si="34"/>
        <v>0</v>
      </c>
      <c r="EA77" s="258">
        <f t="shared" si="34"/>
        <v>0</v>
      </c>
      <c r="EB77" s="242">
        <f>SUM(DX77:EA77)</f>
        <v>0.19918039821549402</v>
      </c>
      <c r="EC77" s="830" t="s">
        <v>276</v>
      </c>
      <c r="ED77" s="830"/>
      <c r="EE77" s="253" t="s">
        <v>277</v>
      </c>
      <c r="EF77" s="254">
        <f>$EF$18</f>
        <v>10.055999999999999</v>
      </c>
      <c r="ES77" s="380"/>
      <c r="ET77" s="380"/>
    </row>
    <row r="78" spans="1:150" ht="24.95" customHeight="1" thickBot="1">
      <c r="A78" s="10"/>
      <c r="H78" s="292"/>
      <c r="J78" s="10"/>
      <c r="M78" s="593"/>
      <c r="N78" s="593"/>
      <c r="O78" s="497"/>
      <c r="P78" s="497"/>
      <c r="Q78" s="497"/>
      <c r="R78" s="497"/>
      <c r="Y78" s="9"/>
      <c r="Z78" s="9"/>
      <c r="AA78" s="171"/>
      <c r="AB78" s="171"/>
      <c r="BB78" s="38"/>
      <c r="BC78" s="38"/>
      <c r="BD78" s="38"/>
      <c r="BF78" s="10"/>
      <c r="BG78" s="10"/>
      <c r="BH78" s="284"/>
      <c r="BI78" s="188"/>
      <c r="BK78" s="188"/>
      <c r="BL78" s="188"/>
      <c r="BM78" s="188"/>
      <c r="BN78" s="188"/>
      <c r="BO78" s="188"/>
      <c r="BP78" s="188"/>
      <c r="BQ78" s="188"/>
      <c r="BX78" s="193"/>
      <c r="BY78" s="193"/>
      <c r="CA78" s="184"/>
      <c r="CB78" s="184"/>
      <c r="CJ78" s="56">
        <f t="shared" si="32"/>
        <v>62</v>
      </c>
      <c r="CK78" s="245">
        <v>2</v>
      </c>
      <c r="CL78" s="245" t="s">
        <v>85</v>
      </c>
      <c r="CM78" s="195">
        <v>1323.4</v>
      </c>
      <c r="CN78" s="196">
        <v>1267.0999999999999</v>
      </c>
      <c r="CO78" s="10">
        <v>1290</v>
      </c>
      <c r="CP78" s="195"/>
      <c r="CQ78" s="196"/>
      <c r="DI78" s="552"/>
      <c r="DJ78" s="542"/>
      <c r="DT78" s="310" t="s">
        <v>276</v>
      </c>
      <c r="DU78" s="311">
        <f>IF(AND($B$31="0",$B$12=0),"xxxx",(EF77*EA69)*DU75)</f>
        <v>5.1244273972602734</v>
      </c>
      <c r="DV78" s="155"/>
      <c r="DW78" s="155"/>
      <c r="DX78" s="233">
        <f>IF((DV74&lt;DX74),DV74,DX74)</f>
        <v>2.1254306577819548</v>
      </c>
      <c r="DY78" s="233">
        <f>IF((DV74&lt;DY74),(DV74-DX78),(DY74-DX74))</f>
        <v>0</v>
      </c>
      <c r="DZ78" s="233">
        <f>IF((DV74&lt;DZ74),(DV74-SUM(DX78:DY78)),(DZ74-SUM(DX78:DY78)))</f>
        <v>0</v>
      </c>
      <c r="EA78" s="233">
        <f>IF((DV74&lt;DZ74),0,(DV74-SUM(DX78:DZ78)))</f>
        <v>0</v>
      </c>
      <c r="EB78" s="260">
        <f>SUM(EB75:EB77)</f>
        <v>0.22662701948892183</v>
      </c>
      <c r="EC78" s="834" t="s">
        <v>278</v>
      </c>
      <c r="ED78" s="830"/>
      <c r="EE78" s="253" t="s">
        <v>279</v>
      </c>
      <c r="EF78" s="254">
        <v>2.2700000000000001E-2</v>
      </c>
      <c r="EM78" s="386" t="s">
        <v>410</v>
      </c>
      <c r="EN78" s="387"/>
      <c r="EO78" s="387"/>
      <c r="EP78" s="387"/>
      <c r="ES78" s="380"/>
      <c r="ET78" s="380"/>
    </row>
    <row r="79" spans="1:150" ht="24.95" customHeight="1" thickBot="1">
      <c r="A79" s="10"/>
      <c r="H79" s="292"/>
      <c r="J79" s="10"/>
      <c r="M79" s="593"/>
      <c r="N79" s="593"/>
      <c r="O79" s="497"/>
      <c r="P79" s="497"/>
      <c r="Q79" s="497"/>
      <c r="R79" s="497"/>
      <c r="Y79" s="9"/>
      <c r="Z79" s="9"/>
      <c r="AA79" s="171"/>
      <c r="AB79" s="171"/>
      <c r="BB79" s="38"/>
      <c r="BC79" s="38"/>
      <c r="BD79" s="38"/>
      <c r="BF79" s="10"/>
      <c r="BG79" s="10"/>
      <c r="BH79" s="284"/>
      <c r="BI79" s="188"/>
      <c r="BK79" s="188"/>
      <c r="BL79" s="188"/>
      <c r="BM79" s="188"/>
      <c r="BN79" s="188"/>
      <c r="BO79" s="188"/>
      <c r="BP79" s="188"/>
      <c r="BQ79" s="188"/>
      <c r="BX79" s="193"/>
      <c r="BY79" s="193"/>
      <c r="CA79" s="184"/>
      <c r="CB79" s="184"/>
      <c r="CJ79" s="56">
        <f t="shared" si="32"/>
        <v>63</v>
      </c>
      <c r="CK79" s="245">
        <v>1</v>
      </c>
      <c r="CL79" s="245" t="s">
        <v>86</v>
      </c>
      <c r="CM79" s="195">
        <v>1155.3</v>
      </c>
      <c r="CN79" s="196">
        <v>1261</v>
      </c>
      <c r="CO79" s="10">
        <v>1240</v>
      </c>
      <c r="CP79" s="195"/>
      <c r="CQ79" s="196"/>
      <c r="DI79" s="552"/>
      <c r="DJ79" s="542"/>
      <c r="DT79" s="310" t="s">
        <v>278</v>
      </c>
      <c r="DU79" s="560">
        <f>IF(AND($B$31="0",$B$12=0),"xxxx",EF78*EN79)</f>
        <v>0</v>
      </c>
      <c r="DV79" s="155"/>
      <c r="DW79" s="216"/>
      <c r="DX79" s="261">
        <f>DX78*EC74</f>
        <v>0</v>
      </c>
      <c r="DY79" s="262">
        <f>DY78*ED74</f>
        <v>0</v>
      </c>
      <c r="DZ79" s="262">
        <f>DZ78*EE74</f>
        <v>0</v>
      </c>
      <c r="EA79" s="263">
        <f>EA78*EF74</f>
        <v>0</v>
      </c>
      <c r="EB79" s="242">
        <f>SUM(DX79:EA79)</f>
        <v>0</v>
      </c>
      <c r="EC79" s="830" t="s">
        <v>280</v>
      </c>
      <c r="ED79" s="830"/>
      <c r="EE79" s="253" t="s">
        <v>279</v>
      </c>
      <c r="EF79" s="254">
        <v>0</v>
      </c>
      <c r="EN79" s="388">
        <f>EN76*EN73</f>
        <v>0</v>
      </c>
      <c r="EO79" s="388"/>
      <c r="EP79" s="383"/>
      <c r="EQ79" s="380"/>
      <c r="ER79" s="380"/>
      <c r="ES79" s="380"/>
      <c r="ET79" s="380"/>
    </row>
    <row r="80" spans="1:150" ht="24.95" customHeight="1" thickBot="1">
      <c r="A80" s="10"/>
      <c r="H80" s="292"/>
      <c r="J80" s="10"/>
      <c r="M80" s="593"/>
      <c r="N80" s="593"/>
      <c r="O80" s="497"/>
      <c r="P80" s="497"/>
      <c r="Q80" s="497"/>
      <c r="R80" s="497"/>
      <c r="Y80" s="9"/>
      <c r="Z80" s="9"/>
      <c r="AA80" s="70"/>
      <c r="BB80" s="38"/>
      <c r="BC80" s="38"/>
      <c r="BD80" s="38"/>
      <c r="BF80" s="10"/>
      <c r="BG80" s="10"/>
      <c r="BH80" s="284"/>
      <c r="BI80" s="188"/>
      <c r="BK80" s="188"/>
      <c r="BL80" s="188"/>
      <c r="BM80" s="188"/>
      <c r="BN80" s="188"/>
      <c r="BO80" s="188"/>
      <c r="BP80" s="188"/>
      <c r="BQ80" s="188"/>
      <c r="BX80" s="193"/>
      <c r="BY80" s="193"/>
      <c r="CA80" s="184"/>
      <c r="CB80" s="184"/>
      <c r="CJ80" s="56">
        <f t="shared" si="32"/>
        <v>64</v>
      </c>
      <c r="CK80" s="245">
        <v>2</v>
      </c>
      <c r="CL80" s="245" t="s">
        <v>87</v>
      </c>
      <c r="CM80" s="195">
        <v>1313.2</v>
      </c>
      <c r="CN80" s="196">
        <v>1301</v>
      </c>
      <c r="CO80" s="10">
        <v>1360</v>
      </c>
      <c r="CP80" s="195"/>
      <c r="CQ80" s="196"/>
      <c r="DI80" s="552"/>
      <c r="DJ80" s="553"/>
      <c r="DT80" s="310" t="s">
        <v>281</v>
      </c>
      <c r="DU80" s="311">
        <f>IF(AND($B$31="0",$B$12=0),"xxxx",EF79*DV74)</f>
        <v>0</v>
      </c>
      <c r="DV80" s="266"/>
      <c r="DW80" s="266"/>
      <c r="DX80" s="267"/>
      <c r="DY80" s="267"/>
      <c r="DZ80" s="268"/>
      <c r="EA80" s="268"/>
      <c r="EB80" s="155"/>
      <c r="EP80" s="38"/>
      <c r="EQ80" s="380"/>
      <c r="ER80" s="380"/>
      <c r="ES80" s="380"/>
      <c r="ET80" s="380"/>
    </row>
    <row r="81" spans="1:150" ht="24.95" customHeight="1" thickBot="1">
      <c r="A81" s="10"/>
      <c r="H81" s="292"/>
      <c r="J81" s="10"/>
      <c r="M81" s="593"/>
      <c r="N81" s="593"/>
      <c r="O81" s="497"/>
      <c r="P81" s="497"/>
      <c r="Q81" s="497"/>
      <c r="R81" s="497"/>
      <c r="Y81" s="9"/>
      <c r="Z81" s="9"/>
      <c r="AA81" s="70"/>
      <c r="BB81" s="38"/>
      <c r="BC81" s="38"/>
      <c r="BD81" s="38"/>
      <c r="BF81" s="10"/>
      <c r="BG81" s="10"/>
      <c r="BH81" s="284"/>
      <c r="BI81" s="188"/>
      <c r="BK81" s="188"/>
      <c r="BL81" s="188"/>
      <c r="BM81" s="188"/>
      <c r="BT81" s="193"/>
      <c r="BU81" s="193"/>
      <c r="BW81" s="184"/>
      <c r="BX81" s="184"/>
      <c r="CG81" s="193"/>
      <c r="CJ81" s="56">
        <f>CJ80+1</f>
        <v>65</v>
      </c>
      <c r="CK81" s="245">
        <v>2</v>
      </c>
      <c r="CL81" s="245" t="s">
        <v>88</v>
      </c>
      <c r="CM81" s="195">
        <v>1248.5</v>
      </c>
      <c r="CN81" s="196">
        <v>1272.3</v>
      </c>
      <c r="CO81" s="10">
        <v>1330</v>
      </c>
      <c r="CP81" s="195"/>
      <c r="CQ81" s="196"/>
      <c r="DI81" s="554"/>
      <c r="DT81" s="310" t="s">
        <v>282</v>
      </c>
      <c r="DU81" s="561">
        <f>IF(AND($B$31="0",$B$12=0),"xxxx",IF((DV81="Bioraria"),EB78,EB79))</f>
        <v>0.22662701948892183</v>
      </c>
      <c r="DV81" s="858" t="s">
        <v>283</v>
      </c>
      <c r="DW81" s="859"/>
      <c r="DX81" s="270" t="s">
        <v>284</v>
      </c>
      <c r="DY81" s="216"/>
      <c r="DZ81" s="860" t="s">
        <v>285</v>
      </c>
      <c r="EA81" s="861"/>
      <c r="EB81" s="271"/>
    </row>
    <row r="82" spans="1:150" ht="24.95" customHeight="1" thickBot="1">
      <c r="A82" s="10"/>
      <c r="H82" s="292"/>
      <c r="J82" s="10"/>
      <c r="M82" s="593"/>
      <c r="N82" s="593"/>
      <c r="O82" s="497"/>
      <c r="P82" s="497"/>
      <c r="Q82" s="497"/>
      <c r="R82" s="497"/>
      <c r="Y82" s="9"/>
      <c r="Z82" s="9"/>
      <c r="AA82" s="70"/>
      <c r="BD82" s="285"/>
      <c r="BE82" s="286"/>
      <c r="BF82" s="287"/>
      <c r="BG82" s="285"/>
      <c r="BH82" s="187"/>
      <c r="BI82" s="188"/>
      <c r="BK82" s="188"/>
      <c r="BL82" s="188"/>
      <c r="BM82" s="188"/>
      <c r="BR82" s="184"/>
      <c r="BS82" s="184"/>
      <c r="BW82" s="184"/>
      <c r="BX82" s="184"/>
      <c r="CC82" s="193"/>
      <c r="CJ82" s="56">
        <f t="shared" si="32"/>
        <v>66</v>
      </c>
      <c r="CK82" s="245">
        <v>3</v>
      </c>
      <c r="CL82" s="245" t="s">
        <v>89</v>
      </c>
      <c r="CM82" s="195">
        <v>1375.5</v>
      </c>
      <c r="CN82" s="196">
        <v>1314</v>
      </c>
      <c r="CO82" s="10">
        <v>1380</v>
      </c>
      <c r="CP82" s="195"/>
      <c r="CQ82" s="196"/>
      <c r="DI82" s="552"/>
      <c r="DJ82" s="551"/>
      <c r="DT82" s="310" t="s">
        <v>287</v>
      </c>
      <c r="DU82" s="311">
        <f>IF(AND($B$31="0",$B$12=0),'FOGLIO RACCOLTA DATI DI CONSUMO'!B20/1.1,SUM(DU77:DU81))</f>
        <v>12.618609485242343</v>
      </c>
      <c r="DV82" s="248"/>
      <c r="DW82" s="248"/>
      <c r="DX82" s="272">
        <v>0.1</v>
      </c>
      <c r="DY82" s="216"/>
      <c r="DZ82" s="863">
        <f>DU82*(1+DX82)</f>
        <v>13.880470433766579</v>
      </c>
      <c r="EA82" s="864"/>
      <c r="EB82" s="271"/>
    </row>
    <row r="83" spans="1:150" ht="24.95" customHeight="1">
      <c r="A83" s="10"/>
      <c r="H83" s="292"/>
      <c r="J83" s="10"/>
      <c r="M83" s="593"/>
      <c r="N83" s="593"/>
      <c r="O83" s="497"/>
      <c r="P83" s="497"/>
      <c r="Q83" s="497"/>
      <c r="R83" s="497"/>
      <c r="Y83" s="9"/>
      <c r="Z83" s="9"/>
      <c r="AA83" s="288"/>
      <c r="AB83" s="286"/>
      <c r="BD83" s="285"/>
      <c r="BE83" s="286"/>
      <c r="BF83" s="287"/>
      <c r="BG83" s="285"/>
      <c r="BH83" s="187"/>
      <c r="BI83" s="188"/>
      <c r="BK83" s="188"/>
      <c r="BL83" s="188"/>
      <c r="BN83" s="184"/>
      <c r="BO83" s="184"/>
      <c r="BQ83" s="184"/>
      <c r="BR83" s="184"/>
      <c r="BV83" s="184"/>
      <c r="BW83" s="184"/>
      <c r="CB83" s="193"/>
      <c r="CJ83" s="56">
        <f>CJ82+1</f>
        <v>67</v>
      </c>
      <c r="CK83" s="245">
        <v>2</v>
      </c>
      <c r="CL83" s="245" t="s">
        <v>90</v>
      </c>
      <c r="CM83" s="195">
        <v>1250.0999999999999</v>
      </c>
      <c r="CN83" s="196">
        <v>1262.5</v>
      </c>
      <c r="CO83" s="10">
        <v>1210</v>
      </c>
      <c r="CP83" s="195"/>
      <c r="CQ83" s="196"/>
    </row>
    <row r="84" spans="1:150" ht="24.95" customHeight="1">
      <c r="A84" s="10"/>
      <c r="H84" s="292"/>
      <c r="J84" s="10"/>
      <c r="M84" s="593"/>
      <c r="N84" s="593"/>
      <c r="O84" s="497"/>
      <c r="P84" s="497"/>
      <c r="Q84" s="497"/>
      <c r="R84" s="497"/>
      <c r="V84" s="184"/>
      <c r="W84" s="184"/>
      <c r="Y84" s="9"/>
      <c r="Z84" s="9"/>
      <c r="BC84" s="285"/>
      <c r="BD84" s="286"/>
      <c r="BE84" s="287"/>
      <c r="BF84" s="285"/>
      <c r="BG84" s="187"/>
      <c r="BH84" s="287"/>
      <c r="BI84" s="188"/>
      <c r="BL84" s="188"/>
      <c r="BQ84" s="184"/>
      <c r="BR84" s="184"/>
      <c r="BV84" s="184"/>
      <c r="BW84" s="184"/>
      <c r="CB84" s="193"/>
      <c r="CJ84" s="56">
        <f>CJ83+1</f>
        <v>68</v>
      </c>
      <c r="CK84" s="245">
        <v>3</v>
      </c>
      <c r="CL84" s="245" t="s">
        <v>91</v>
      </c>
      <c r="CM84" s="195">
        <v>1353.9</v>
      </c>
      <c r="CN84" s="196">
        <v>1296.3</v>
      </c>
      <c r="CO84" s="10">
        <v>1290</v>
      </c>
      <c r="CP84" s="195"/>
      <c r="CQ84" s="196"/>
    </row>
    <row r="85" spans="1:150" ht="24.95" customHeight="1" thickBot="1">
      <c r="A85" s="10"/>
      <c r="H85" s="292"/>
      <c r="J85" s="10"/>
      <c r="M85" s="593"/>
      <c r="N85" s="593"/>
      <c r="O85" s="497"/>
      <c r="P85" s="497"/>
      <c r="Q85" s="497"/>
      <c r="R85" s="497"/>
      <c r="T85" s="184"/>
      <c r="U85" s="184"/>
      <c r="V85" s="59"/>
      <c r="W85" s="59"/>
      <c r="Y85" s="9"/>
      <c r="Z85" s="9"/>
      <c r="AM85" s="59"/>
      <c r="AN85" s="59"/>
      <c r="AO85" s="59"/>
      <c r="AP85" s="59"/>
      <c r="AQ85" s="59"/>
      <c r="AR85" s="59"/>
      <c r="AS85" s="10"/>
      <c r="BB85" s="286"/>
      <c r="BC85" s="197"/>
      <c r="BD85" s="10"/>
      <c r="BE85" s="197"/>
      <c r="BG85" s="10"/>
      <c r="BH85" s="197"/>
      <c r="BI85" s="188"/>
      <c r="BL85" s="188"/>
      <c r="BR85" s="193"/>
      <c r="BX85" s="184"/>
      <c r="BY85" s="184"/>
      <c r="CD85" s="193"/>
      <c r="CJ85" s="56">
        <f>CJ84+1</f>
        <v>69</v>
      </c>
      <c r="CK85" s="245">
        <v>1</v>
      </c>
      <c r="CL85" s="245" t="s">
        <v>92</v>
      </c>
      <c r="CM85" s="195">
        <v>1178.3</v>
      </c>
      <c r="CN85" s="196">
        <v>1279.2</v>
      </c>
      <c r="CO85" s="10">
        <v>1250</v>
      </c>
    </row>
    <row r="86" spans="1:150" ht="24.95" customHeight="1" thickTop="1" thickBot="1">
      <c r="A86" s="10"/>
      <c r="H86" s="292"/>
      <c r="J86" s="10"/>
      <c r="M86" s="593"/>
      <c r="N86" s="593"/>
      <c r="O86" s="497"/>
      <c r="P86" s="497"/>
      <c r="Q86" s="497"/>
      <c r="R86" s="497"/>
      <c r="T86" s="59"/>
      <c r="U86" s="59"/>
      <c r="AM86" s="59"/>
      <c r="AN86" s="59"/>
      <c r="AO86" s="59"/>
      <c r="AP86" s="59"/>
      <c r="AQ86" s="10"/>
      <c r="AR86" s="10"/>
      <c r="AS86" s="10"/>
      <c r="AZ86" s="194"/>
      <c r="BA86" s="171"/>
      <c r="BB86" s="171"/>
      <c r="BM86" s="171"/>
      <c r="BN86" s="184"/>
      <c r="BO86" s="184"/>
      <c r="BX86" s="184"/>
      <c r="BY86" s="184"/>
      <c r="CD86" s="193"/>
      <c r="CJ86" s="56">
        <f>CJ85+1</f>
        <v>70</v>
      </c>
      <c r="CK86" s="245">
        <v>1</v>
      </c>
      <c r="CL86" s="245" t="s">
        <v>93</v>
      </c>
      <c r="CM86" s="195">
        <v>1175.5999999999999</v>
      </c>
      <c r="CN86" s="196">
        <v>1206.3</v>
      </c>
      <c r="CO86" s="10">
        <v>1170</v>
      </c>
      <c r="DT86" s="831" t="s">
        <v>264</v>
      </c>
      <c r="DU86" s="831"/>
      <c r="DV86" s="204" t="s">
        <v>265</v>
      </c>
      <c r="DW86" s="205">
        <f>EA86</f>
        <v>62</v>
      </c>
      <c r="DX86" s="832" t="s">
        <v>266</v>
      </c>
      <c r="DY86" s="832"/>
      <c r="DZ86" s="204" t="s">
        <v>265</v>
      </c>
      <c r="EA86" s="205">
        <v>62</v>
      </c>
      <c r="EB86" s="206"/>
      <c r="EC86" s="833" t="s">
        <v>267</v>
      </c>
      <c r="ED86" s="833"/>
      <c r="EE86" s="833"/>
      <c r="EF86" s="833"/>
      <c r="EM86" s="383" t="s">
        <v>403</v>
      </c>
      <c r="EN86" s="383"/>
      <c r="EO86" s="383"/>
      <c r="EP86" s="383"/>
      <c r="ER86" s="375"/>
      <c r="ES86" s="380"/>
      <c r="ET86" s="380"/>
    </row>
    <row r="87" spans="1:150" ht="24.95" customHeight="1" thickBot="1">
      <c r="A87" s="10"/>
      <c r="H87" s="292"/>
      <c r="J87" s="10"/>
      <c r="M87" s="593"/>
      <c r="N87" s="593"/>
      <c r="O87" s="497"/>
      <c r="P87" s="497"/>
      <c r="AM87" s="59"/>
      <c r="AN87" s="59"/>
      <c r="AO87" s="59"/>
      <c r="AP87" s="59"/>
      <c r="AQ87" s="10"/>
      <c r="AR87" s="10"/>
      <c r="AS87" s="10"/>
      <c r="AZ87" s="194"/>
      <c r="BA87" s="171"/>
      <c r="BB87" s="171"/>
      <c r="BF87" s="287"/>
      <c r="BH87" s="171"/>
      <c r="BI87" s="171"/>
      <c r="BK87" s="171"/>
      <c r="BL87" s="171"/>
      <c r="BM87" s="171"/>
      <c r="BN87" s="184"/>
      <c r="BO87" s="184"/>
      <c r="BX87" s="184"/>
      <c r="BY87" s="184"/>
      <c r="CD87" s="193"/>
      <c r="CJ87" s="56">
        <f t="shared" ref="CJ87:CJ92" si="35">CJ86+1</f>
        <v>71</v>
      </c>
      <c r="CK87" s="245">
        <v>3</v>
      </c>
      <c r="CL87" s="245" t="s">
        <v>94</v>
      </c>
      <c r="CM87" s="195">
        <v>1365.1</v>
      </c>
      <c r="CN87" s="196">
        <v>1332.6</v>
      </c>
      <c r="CO87" s="10">
        <v>1450</v>
      </c>
      <c r="DT87" s="297" t="s">
        <v>198</v>
      </c>
      <c r="DU87" s="298" t="s">
        <v>304</v>
      </c>
      <c r="DV87" s="207" t="s">
        <v>268</v>
      </c>
      <c r="DW87" s="208">
        <v>0.17260273972602741</v>
      </c>
      <c r="DX87" s="209"/>
      <c r="DY87" s="209"/>
      <c r="DZ87" s="207" t="s">
        <v>268</v>
      </c>
      <c r="EA87" s="210">
        <f>EA86/365</f>
        <v>0.16986301369863013</v>
      </c>
      <c r="EB87" s="155"/>
      <c r="EC87" s="155" t="s">
        <v>253</v>
      </c>
      <c r="ED87" s="155" t="s">
        <v>254</v>
      </c>
      <c r="EE87" s="155" t="s">
        <v>255</v>
      </c>
      <c r="EF87" s="155" t="s">
        <v>256</v>
      </c>
      <c r="EN87" s="384" t="s">
        <v>404</v>
      </c>
      <c r="EO87" s="384" t="s">
        <v>405</v>
      </c>
      <c r="ER87" s="375">
        <v>365</v>
      </c>
      <c r="ES87" s="380"/>
      <c r="ET87" s="380"/>
    </row>
    <row r="88" spans="1:150" ht="24.95" customHeight="1" thickBot="1">
      <c r="A88" s="10"/>
      <c r="H88" s="292"/>
      <c r="J88" s="10"/>
      <c r="M88" s="593"/>
      <c r="N88" s="593"/>
      <c r="O88" s="497"/>
      <c r="P88" s="497"/>
      <c r="AM88" s="59"/>
      <c r="AN88" s="59"/>
      <c r="AO88" s="59"/>
      <c r="AP88" s="59"/>
      <c r="AQ88" s="10"/>
      <c r="AR88" s="10"/>
      <c r="AS88" s="10"/>
      <c r="AZ88" s="56"/>
      <c r="BA88" s="171"/>
      <c r="BB88" s="286"/>
      <c r="BC88" s="187"/>
      <c r="BD88" s="289"/>
      <c r="BE88" s="171"/>
      <c r="BF88" s="287"/>
      <c r="BG88" s="289"/>
      <c r="BH88" s="171"/>
      <c r="BI88" s="171"/>
      <c r="BK88" s="171"/>
      <c r="BL88" s="171"/>
      <c r="BM88" s="171"/>
      <c r="BX88" s="184"/>
      <c r="BY88" s="184"/>
      <c r="CD88" s="193"/>
      <c r="CJ88" s="56">
        <f t="shared" si="35"/>
        <v>72</v>
      </c>
      <c r="CK88" s="245">
        <v>1</v>
      </c>
      <c r="CL88" s="245" t="s">
        <v>95</v>
      </c>
      <c r="CM88" s="195">
        <v>1216</v>
      </c>
      <c r="CN88" s="196">
        <v>1278.3</v>
      </c>
      <c r="CO88" s="10">
        <v>1260</v>
      </c>
      <c r="DT88" s="299" t="s">
        <v>269</v>
      </c>
      <c r="DU88" s="299" t="s">
        <v>270</v>
      </c>
      <c r="DV88" s="155" t="s">
        <v>271</v>
      </c>
      <c r="DW88" s="155"/>
      <c r="DX88" s="212" t="s">
        <v>253</v>
      </c>
      <c r="DY88" s="212" t="s">
        <v>254</v>
      </c>
      <c r="DZ88" s="213" t="s">
        <v>255</v>
      </c>
      <c r="EA88" s="213" t="s">
        <v>256</v>
      </c>
      <c r="EB88" s="155"/>
      <c r="EC88" s="214">
        <v>1800</v>
      </c>
      <c r="ED88" s="214">
        <v>2640</v>
      </c>
      <c r="EE88" s="214">
        <v>4440</v>
      </c>
      <c r="EF88" s="214"/>
      <c r="EN88" s="387">
        <f>EA86</f>
        <v>62</v>
      </c>
      <c r="EO88" s="387">
        <f>DV92</f>
        <v>14.389595621414133</v>
      </c>
      <c r="ER88" s="375">
        <v>365</v>
      </c>
      <c r="ES88" s="380"/>
      <c r="ET88" s="380"/>
    </row>
    <row r="89" spans="1:150" ht="24.95" customHeight="1" thickBot="1">
      <c r="A89" s="10"/>
      <c r="H89" s="292"/>
      <c r="J89" s="184"/>
      <c r="M89" s="593"/>
      <c r="N89" s="593"/>
      <c r="O89" s="497"/>
      <c r="P89" s="497"/>
      <c r="AM89" s="59"/>
      <c r="AN89" s="59"/>
      <c r="AO89" s="59"/>
      <c r="AP89" s="59"/>
      <c r="AQ89" s="10"/>
      <c r="AR89" s="10"/>
      <c r="AS89" s="10"/>
      <c r="AZ89" s="56"/>
      <c r="BA89" s="171"/>
      <c r="BB89" s="286"/>
      <c r="BC89" s="187"/>
      <c r="BD89" s="289"/>
      <c r="BE89" s="171"/>
      <c r="BF89" s="287"/>
      <c r="BG89" s="289"/>
      <c r="BH89" s="171"/>
      <c r="BI89" s="171"/>
      <c r="BK89" s="171"/>
      <c r="BL89" s="171"/>
      <c r="BM89" s="171"/>
      <c r="BX89" s="184"/>
      <c r="BY89" s="184"/>
      <c r="CD89" s="193"/>
      <c r="CJ89" s="56">
        <f t="shared" si="35"/>
        <v>73</v>
      </c>
      <c r="CK89" s="245">
        <v>5</v>
      </c>
      <c r="CL89" s="245" t="s">
        <v>96</v>
      </c>
      <c r="CM89" s="195">
        <v>1640.2</v>
      </c>
      <c r="CN89" s="196">
        <v>1458.6</v>
      </c>
      <c r="CO89" s="10">
        <v>1660</v>
      </c>
      <c r="DT89" s="300">
        <v>3971</v>
      </c>
      <c r="DU89" s="301"/>
      <c r="DV89" s="215">
        <f>IF(AND($B$31="0",$B$12=0),"xxxx",4/100*($BG$15+$BG$16))</f>
        <v>0.57558382485656534</v>
      </c>
      <c r="DW89" s="216"/>
      <c r="DX89" s="217">
        <f>(DV89*DX96)/DV92</f>
        <v>0.57558382485656534</v>
      </c>
      <c r="DY89" s="217">
        <f>(DV89*DY96)/DV92</f>
        <v>0</v>
      </c>
      <c r="DZ89" s="217">
        <f>(DV89*DZ96)/DV92</f>
        <v>0</v>
      </c>
      <c r="EA89" s="217">
        <f>(DV89*EA96)/DV92</f>
        <v>0</v>
      </c>
      <c r="EB89" s="218"/>
      <c r="EC89" s="219">
        <f t="shared" ref="EC89:EF90" si="36">EC12</f>
        <v>0.11321200000000001</v>
      </c>
      <c r="ED89" s="219">
        <f t="shared" si="36"/>
        <v>0.16523199999999999</v>
      </c>
      <c r="EE89" s="219">
        <f t="shared" si="36"/>
        <v>0.23802200000000001</v>
      </c>
      <c r="EF89" s="219">
        <f t="shared" si="36"/>
        <v>0.23802200000000001</v>
      </c>
      <c r="EN89" s="385">
        <f>EA86</f>
        <v>62</v>
      </c>
      <c r="EO89" s="385">
        <f>DV92</f>
        <v>14.389595621414133</v>
      </c>
      <c r="ER89" s="375"/>
      <c r="ES89" s="380"/>
      <c r="ET89" s="380"/>
    </row>
    <row r="90" spans="1:150" ht="24.95" customHeight="1" thickBot="1">
      <c r="A90" s="10"/>
      <c r="F90" s="524"/>
      <c r="G90" s="497"/>
      <c r="H90" s="292"/>
      <c r="J90" s="59"/>
      <c r="M90" s="593"/>
      <c r="N90" s="593"/>
      <c r="O90" s="497"/>
      <c r="P90" s="497"/>
      <c r="AM90" s="59"/>
      <c r="AN90" s="59"/>
      <c r="AO90" s="59"/>
      <c r="AP90" s="59"/>
      <c r="AQ90" s="10"/>
      <c r="AR90" s="10"/>
      <c r="AS90" s="186"/>
      <c r="AZ90" s="56"/>
      <c r="BA90" s="171"/>
      <c r="BB90" s="286"/>
      <c r="BC90" s="187"/>
      <c r="BD90" s="289"/>
      <c r="BE90" s="171"/>
      <c r="BF90" s="287"/>
      <c r="BG90" s="289"/>
      <c r="BH90" s="171"/>
      <c r="BI90" s="171"/>
      <c r="BK90" s="171"/>
      <c r="BL90" s="171"/>
      <c r="BM90" s="171"/>
      <c r="BX90" s="184"/>
      <c r="BY90" s="184"/>
      <c r="CD90" s="193"/>
      <c r="CJ90" s="56">
        <f>CJ89+1</f>
        <v>74</v>
      </c>
      <c r="CK90" s="245">
        <v>2</v>
      </c>
      <c r="CL90" s="245" t="s">
        <v>97</v>
      </c>
      <c r="CM90" s="195">
        <v>1255.3</v>
      </c>
      <c r="CN90" s="196">
        <v>1262.6317007756504</v>
      </c>
      <c r="CO90" s="10">
        <v>1240</v>
      </c>
      <c r="DT90" s="302">
        <v>5469</v>
      </c>
      <c r="DU90" s="303"/>
      <c r="DV90" s="215">
        <f>IF(AND($B$31="0",$B$12=0),"xxxx",$BO$6/100*($BG$15+$BG$16))</f>
        <v>1.4389595621414133</v>
      </c>
      <c r="DW90" s="216"/>
      <c r="DX90" s="225">
        <f>(DV90*DX96)/DV92</f>
        <v>1.4389595621414133</v>
      </c>
      <c r="DY90" s="225">
        <f>(DV90*DY96)/DV92</f>
        <v>0</v>
      </c>
      <c r="DZ90" s="225">
        <f>(DV90*DZ96)/DV92</f>
        <v>0</v>
      </c>
      <c r="EA90" s="225">
        <f>(DV90*EA96)/DV92</f>
        <v>0</v>
      </c>
      <c r="EB90" s="218"/>
      <c r="EC90" s="219">
        <f t="shared" si="36"/>
        <v>0.106492</v>
      </c>
      <c r="ED90" s="219">
        <f t="shared" si="36"/>
        <v>0.15851199999999999</v>
      </c>
      <c r="EE90" s="219">
        <f t="shared" si="36"/>
        <v>0.23130200000000001</v>
      </c>
      <c r="EF90" s="219">
        <f t="shared" si="36"/>
        <v>0.23130200000000001</v>
      </c>
      <c r="ER90" s="375" t="s">
        <v>412</v>
      </c>
      <c r="ES90" s="380"/>
      <c r="ET90" s="380"/>
    </row>
    <row r="91" spans="1:150" ht="24.95" customHeight="1" thickBot="1">
      <c r="A91" s="10"/>
      <c r="AM91" s="59"/>
      <c r="AN91" s="59"/>
      <c r="AO91" s="59"/>
      <c r="AP91" s="59"/>
      <c r="AQ91" s="10"/>
      <c r="AR91" s="10"/>
      <c r="AS91" s="186"/>
      <c r="AZ91" s="56"/>
      <c r="BA91" s="171"/>
      <c r="BB91" s="286"/>
      <c r="BC91" s="187"/>
      <c r="BD91" s="289"/>
      <c r="BE91" s="171"/>
      <c r="BF91" s="287"/>
      <c r="BG91" s="289"/>
      <c r="BH91" s="171"/>
      <c r="BI91" s="171"/>
      <c r="BK91" s="171"/>
      <c r="BL91" s="171"/>
      <c r="BM91" s="171"/>
      <c r="BX91" s="184"/>
      <c r="BY91" s="184"/>
      <c r="CD91" s="193"/>
      <c r="CJ91" s="56">
        <f>CJ90+1</f>
        <v>75</v>
      </c>
      <c r="CK91" s="245">
        <v>4</v>
      </c>
      <c r="CL91" s="245" t="s">
        <v>98</v>
      </c>
      <c r="CM91" s="195">
        <v>1547</v>
      </c>
      <c r="CN91" s="196">
        <v>1401.4</v>
      </c>
      <c r="CO91" s="10">
        <v>1500</v>
      </c>
      <c r="DT91" s="304">
        <v>7624</v>
      </c>
      <c r="DU91" s="305"/>
      <c r="DV91" s="215">
        <f>IF(AND($B$31="0",$B$12=0),"xxxx",86/100*($BG$15+$BG$16))</f>
        <v>12.375052234416154</v>
      </c>
      <c r="DW91" s="216"/>
      <c r="DX91" s="225">
        <f>(DV91*DX96)/DV92</f>
        <v>12.375052234416154</v>
      </c>
      <c r="DY91" s="225">
        <f>(DV91*DY96)/DV92</f>
        <v>0</v>
      </c>
      <c r="DZ91" s="225">
        <f>(DV91*DZ96)/DV92</f>
        <v>0</v>
      </c>
      <c r="EA91" s="225">
        <f>(DV91*EA96)/DV92</f>
        <v>0</v>
      </c>
      <c r="EB91" s="218"/>
      <c r="EC91" s="229">
        <f>EC90</f>
        <v>0.106492</v>
      </c>
      <c r="ED91" s="230">
        <f>ED90</f>
        <v>0.15851199999999999</v>
      </c>
      <c r="EE91" s="230">
        <f>EE90</f>
        <v>0.23130200000000001</v>
      </c>
      <c r="EF91" s="231">
        <f>EF90</f>
        <v>0.23130200000000001</v>
      </c>
      <c r="EN91" s="377">
        <f>EN89/ER91</f>
        <v>2.0383561643835617</v>
      </c>
      <c r="EO91" s="377" t="s">
        <v>406</v>
      </c>
      <c r="ER91" s="375">
        <f>365/12</f>
        <v>30.416666666666668</v>
      </c>
      <c r="ES91" s="380"/>
      <c r="ET91" s="380"/>
    </row>
    <row r="92" spans="1:150" ht="24.95" customHeight="1" thickBot="1">
      <c r="AM92" s="59"/>
      <c r="AN92" s="59"/>
      <c r="AO92" s="59"/>
      <c r="AP92" s="59"/>
      <c r="AQ92" s="10"/>
      <c r="AR92" s="10"/>
      <c r="AS92" s="186"/>
      <c r="BA92" s="171"/>
      <c r="BB92" s="171"/>
      <c r="BC92" s="171"/>
      <c r="BD92" s="287"/>
      <c r="BE92" s="171"/>
      <c r="BF92" s="287"/>
      <c r="BG92" s="287"/>
      <c r="BH92" s="171"/>
      <c r="BI92" s="171"/>
      <c r="BK92" s="171"/>
      <c r="BL92" s="171"/>
      <c r="BM92" s="171"/>
      <c r="BX92" s="184"/>
      <c r="BY92" s="184"/>
      <c r="CD92" s="193"/>
      <c r="CJ92" s="56">
        <f t="shared" si="35"/>
        <v>76</v>
      </c>
      <c r="CK92" s="245">
        <v>2</v>
      </c>
      <c r="CL92" s="245" t="s">
        <v>209</v>
      </c>
      <c r="CM92" s="195">
        <v>1277.7649667011292</v>
      </c>
      <c r="CN92" s="196">
        <v>1270.8</v>
      </c>
      <c r="CO92" s="10">
        <v>1220</v>
      </c>
      <c r="DT92" s="306">
        <f>SUM(DT89:DT91)</f>
        <v>17064</v>
      </c>
      <c r="DU92" s="306">
        <f>SUM(DU89:DU91)</f>
        <v>0</v>
      </c>
      <c r="DV92" s="156">
        <f>IF(SUM(DV89:DV91)=0,0.001,SUM(DV89:DV91))</f>
        <v>14.389595621414133</v>
      </c>
      <c r="DW92" s="155"/>
      <c r="DX92" s="233">
        <f>EC88*EA87</f>
        <v>305.75342465753425</v>
      </c>
      <c r="DY92" s="233">
        <f>ED88*EA87</f>
        <v>448.43835616438355</v>
      </c>
      <c r="DZ92" s="233">
        <f>EE88*EA87</f>
        <v>754.19178082191775</v>
      </c>
      <c r="EA92" s="233"/>
      <c r="EB92" s="234"/>
      <c r="EC92" s="235"/>
      <c r="ED92" s="236"/>
      <c r="EE92" s="236"/>
      <c r="EF92" s="237"/>
      <c r="EN92" s="377">
        <f>EO89/EN91</f>
        <v>7.0594118303980622</v>
      </c>
      <c r="EO92" s="377" t="s">
        <v>407</v>
      </c>
      <c r="ES92" s="380"/>
      <c r="ET92" s="380"/>
    </row>
    <row r="93" spans="1:150" ht="24.95" customHeight="1" thickBot="1">
      <c r="AM93" s="59"/>
      <c r="AN93" s="59"/>
      <c r="AO93" s="59"/>
      <c r="AP93" s="59"/>
      <c r="AQ93" s="10"/>
      <c r="AR93" s="10"/>
      <c r="AS93" s="186"/>
      <c r="BA93" s="171"/>
      <c r="BB93" s="171"/>
      <c r="BC93" s="171"/>
      <c r="BD93" s="287"/>
      <c r="BE93" s="171"/>
      <c r="BF93" s="287"/>
      <c r="BG93" s="287"/>
      <c r="BH93" s="171"/>
      <c r="BI93" s="171"/>
      <c r="BK93" s="171"/>
      <c r="BL93" s="171"/>
      <c r="BM93" s="171"/>
      <c r="BX93" s="184"/>
      <c r="BY93" s="184"/>
      <c r="CD93" s="193"/>
      <c r="CJ93" s="56">
        <f>CJ92+1</f>
        <v>77</v>
      </c>
      <c r="CK93" s="245">
        <v>2</v>
      </c>
      <c r="CL93" s="245" t="s">
        <v>210</v>
      </c>
      <c r="CM93" s="195">
        <v>1226.9000000000001</v>
      </c>
      <c r="CN93" s="196">
        <v>1308.9000000000001</v>
      </c>
      <c r="CO93" s="10">
        <v>1380</v>
      </c>
      <c r="DT93" s="307" t="s">
        <v>273</v>
      </c>
      <c r="DU93" s="308">
        <f>IF($B$31="0",'FOGLIO RACCOLTA DATI DI CONSUMO'!$B$14,IF($BG$20&lt;3000,3,'FOGLIO RACCOLTA DATI DI CONSUMO'!$B$14))</f>
        <v>3</v>
      </c>
      <c r="DV93" s="238"/>
      <c r="DW93" s="216"/>
      <c r="DX93" s="239">
        <f t="shared" ref="DX93:EA95" si="37">DX89*EC89</f>
        <v>6.5162995979661478E-2</v>
      </c>
      <c r="DY93" s="240">
        <f t="shared" si="37"/>
        <v>0</v>
      </c>
      <c r="DZ93" s="240">
        <f t="shared" si="37"/>
        <v>0</v>
      </c>
      <c r="EA93" s="241">
        <f t="shared" si="37"/>
        <v>0</v>
      </c>
      <c r="EB93" s="242">
        <f>SUM(DX93:EA93)</f>
        <v>6.5162995979661478E-2</v>
      </c>
      <c r="EC93" s="243"/>
      <c r="ED93" s="243"/>
      <c r="EE93" s="243"/>
      <c r="EF93" s="244"/>
      <c r="EN93" s="377">
        <f>IF(EN92&gt;370,0,IF(EN92&gt;220,150-(EN92-220),150))</f>
        <v>150</v>
      </c>
      <c r="EO93" s="377" t="s">
        <v>408</v>
      </c>
      <c r="ES93" s="380"/>
      <c r="ET93" s="380"/>
    </row>
    <row r="94" spans="1:150" ht="24.95" customHeight="1" thickBot="1">
      <c r="AM94" s="59"/>
      <c r="AN94" s="59"/>
      <c r="AO94" s="59"/>
      <c r="AP94" s="59"/>
      <c r="AQ94" s="59"/>
      <c r="AR94" s="59"/>
      <c r="AS94" s="59"/>
      <c r="AT94" s="193"/>
      <c r="BA94" s="171"/>
      <c r="BB94" s="171"/>
      <c r="BC94" s="171"/>
      <c r="BD94" s="287"/>
      <c r="BE94" s="171"/>
      <c r="BF94" s="287"/>
      <c r="BG94" s="287"/>
      <c r="BH94" s="171"/>
      <c r="BI94" s="171"/>
      <c r="BK94" s="171"/>
      <c r="BL94" s="171"/>
      <c r="BM94" s="171"/>
      <c r="BX94" s="184"/>
      <c r="BY94" s="184"/>
      <c r="CD94" s="193"/>
      <c r="CJ94" s="56">
        <f>CJ93+1</f>
        <v>78</v>
      </c>
      <c r="CK94" s="245">
        <v>2</v>
      </c>
      <c r="CL94" s="245" t="s">
        <v>211</v>
      </c>
      <c r="CM94" s="195">
        <v>1303.4000000000001</v>
      </c>
      <c r="CN94" s="196">
        <v>1266.4000000000001</v>
      </c>
      <c r="CO94" s="10">
        <v>1290</v>
      </c>
      <c r="DT94" s="309"/>
      <c r="DU94" s="309"/>
      <c r="DV94" s="155"/>
      <c r="DW94" s="216"/>
      <c r="DX94" s="249">
        <f t="shared" si="37"/>
        <v>0.15323768169156338</v>
      </c>
      <c r="DY94" s="250">
        <f t="shared" si="37"/>
        <v>0</v>
      </c>
      <c r="DZ94" s="250">
        <f t="shared" si="37"/>
        <v>0</v>
      </c>
      <c r="EA94" s="251">
        <f t="shared" si="37"/>
        <v>0</v>
      </c>
      <c r="EB94" s="242">
        <f>SUM(DX94:EA94)</f>
        <v>0.15323768169156338</v>
      </c>
      <c r="EC94" s="252" t="s">
        <v>274</v>
      </c>
      <c r="ED94" s="252"/>
      <c r="EE94" s="253" t="s">
        <v>275</v>
      </c>
      <c r="EF94" s="254">
        <f>$EF$17</f>
        <v>42.784799999999997</v>
      </c>
      <c r="EN94" s="377">
        <f>IF(EN92&gt;EN93,EN92-EN93,0)</f>
        <v>0</v>
      </c>
      <c r="EO94" s="377" t="s">
        <v>409</v>
      </c>
      <c r="ES94" s="380"/>
      <c r="ET94" s="380"/>
    </row>
    <row r="95" spans="1:150" ht="24.95" customHeight="1" thickBot="1">
      <c r="AM95" s="59"/>
      <c r="AN95" s="59"/>
      <c r="AO95" s="59"/>
      <c r="AP95" s="59"/>
      <c r="AQ95" s="59"/>
      <c r="AR95" s="59"/>
      <c r="AS95" s="59"/>
      <c r="BA95" s="171"/>
      <c r="BB95" s="171"/>
      <c r="BC95" s="171"/>
      <c r="BD95" s="287"/>
      <c r="BE95" s="171"/>
      <c r="BF95" s="287"/>
      <c r="BG95" s="287"/>
      <c r="BH95" s="171"/>
      <c r="BI95" s="171"/>
      <c r="BK95" s="171"/>
      <c r="BL95" s="171"/>
      <c r="BM95" s="171"/>
      <c r="BX95" s="184"/>
      <c r="BY95" s="184"/>
      <c r="CD95" s="193"/>
      <c r="CJ95" s="56">
        <f t="shared" ref="CJ95:CJ118" si="38">CJ94+1</f>
        <v>79</v>
      </c>
      <c r="CK95" s="245">
        <v>3</v>
      </c>
      <c r="CL95" s="245" t="s">
        <v>212</v>
      </c>
      <c r="CM95" s="195">
        <v>1451.4</v>
      </c>
      <c r="CN95" s="196">
        <v>1357.9</v>
      </c>
      <c r="CO95" s="10">
        <v>1390</v>
      </c>
      <c r="DT95" s="310" t="s">
        <v>274</v>
      </c>
      <c r="DU95" s="311">
        <f>IF(AND($B$31="0",$B$12=0),"xxxx",EF94*EA87)</f>
        <v>7.2675550684931496</v>
      </c>
      <c r="DV95" s="155"/>
      <c r="DW95" s="216"/>
      <c r="DX95" s="256">
        <f t="shared" si="37"/>
        <v>1.3178440625474452</v>
      </c>
      <c r="DY95" s="257">
        <f t="shared" si="37"/>
        <v>0</v>
      </c>
      <c r="DZ95" s="257">
        <f t="shared" si="37"/>
        <v>0</v>
      </c>
      <c r="EA95" s="258">
        <f t="shared" si="37"/>
        <v>0</v>
      </c>
      <c r="EB95" s="242">
        <f>SUM(DX95:EA95)</f>
        <v>1.3178440625474452</v>
      </c>
      <c r="EC95" s="830" t="s">
        <v>276</v>
      </c>
      <c r="ED95" s="830"/>
      <c r="EE95" s="253" t="s">
        <v>277</v>
      </c>
      <c r="EF95" s="254">
        <f>$EF$18</f>
        <v>10.055999999999999</v>
      </c>
      <c r="ES95" s="380"/>
      <c r="ET95" s="380"/>
    </row>
    <row r="96" spans="1:150" ht="24.95" customHeight="1" thickBot="1">
      <c r="AM96" s="59"/>
      <c r="AN96" s="59"/>
      <c r="AO96" s="59"/>
      <c r="AP96" s="59"/>
      <c r="AQ96" s="59"/>
      <c r="AR96" s="59"/>
      <c r="AS96" s="59"/>
      <c r="BF96" s="287"/>
      <c r="BH96" s="171"/>
      <c r="BI96" s="171"/>
      <c r="BK96" s="171"/>
      <c r="BL96" s="171"/>
      <c r="BM96" s="171"/>
      <c r="BN96" s="171"/>
      <c r="BO96" s="171"/>
      <c r="BP96" s="171"/>
      <c r="BQ96" s="171"/>
      <c r="BR96" s="171"/>
      <c r="BX96" s="184"/>
      <c r="BY96" s="184"/>
      <c r="CD96" s="193"/>
      <c r="CJ96" s="56">
        <f t="shared" si="38"/>
        <v>80</v>
      </c>
      <c r="CK96" s="245">
        <v>2</v>
      </c>
      <c r="CL96" s="245" t="s">
        <v>213</v>
      </c>
      <c r="CM96" s="195">
        <v>1259.9000000000001</v>
      </c>
      <c r="CN96" s="196">
        <v>1265.5</v>
      </c>
      <c r="CO96" s="10">
        <v>1200</v>
      </c>
      <c r="DT96" s="310" t="s">
        <v>276</v>
      </c>
      <c r="DU96" s="311">
        <f>IF(AND($B$31="0",$B$12=0),"xxxx",(EF95*EA87)*DU93)</f>
        <v>5.1244273972602734</v>
      </c>
      <c r="DV96" s="155"/>
      <c r="DW96" s="155"/>
      <c r="DX96" s="233">
        <f>IF((DV92&lt;DX92),DV92,DX92)</f>
        <v>14.389595621414133</v>
      </c>
      <c r="DY96" s="233">
        <f>IF((DV92&lt;DY92),(DV92-DX96),(DY92-DX92))</f>
        <v>0</v>
      </c>
      <c r="DZ96" s="233">
        <f>IF((DV92&lt;DZ92),(DV92-SUM(DX96:DY96)),(DZ92-SUM(DX96:DY96)))</f>
        <v>0</v>
      </c>
      <c r="EA96" s="233">
        <f>IF((DV92&lt;DZ92),0,(DV92-SUM(DX96:DZ96)))</f>
        <v>0</v>
      </c>
      <c r="EB96" s="260">
        <f>SUM(EB93:EB95)</f>
        <v>1.5362447402186701</v>
      </c>
      <c r="EC96" s="834" t="s">
        <v>278</v>
      </c>
      <c r="ED96" s="830"/>
      <c r="EE96" s="253" t="s">
        <v>279</v>
      </c>
      <c r="EF96" s="254">
        <v>2.2700000000000001E-2</v>
      </c>
      <c r="EM96" s="386" t="s">
        <v>410</v>
      </c>
      <c r="EN96" s="387"/>
      <c r="EO96" s="387"/>
      <c r="EP96" s="387"/>
      <c r="ES96" s="380"/>
      <c r="ET96" s="380"/>
    </row>
    <row r="97" spans="4:150" ht="24.95" customHeight="1" thickBot="1">
      <c r="AM97" s="59"/>
      <c r="AN97" s="59"/>
      <c r="AO97" s="59"/>
      <c r="AP97" s="59"/>
      <c r="AQ97" s="59"/>
      <c r="AR97" s="59"/>
      <c r="AS97" s="59"/>
      <c r="BF97" s="287"/>
      <c r="BH97" s="171"/>
      <c r="BI97" s="171"/>
      <c r="BK97" s="171"/>
      <c r="BL97" s="171"/>
      <c r="BM97" s="171"/>
      <c r="BN97" s="171"/>
      <c r="BO97" s="171"/>
      <c r="BP97" s="171"/>
      <c r="BQ97" s="171"/>
      <c r="BR97" s="171"/>
      <c r="BX97" s="184"/>
      <c r="BY97" s="184"/>
      <c r="CD97" s="193"/>
      <c r="CJ97" s="56">
        <f t="shared" si="38"/>
        <v>81</v>
      </c>
      <c r="CK97" s="245">
        <v>2</v>
      </c>
      <c r="CL97" s="245" t="s">
        <v>214</v>
      </c>
      <c r="CM97" s="195">
        <v>1266.2</v>
      </c>
      <c r="CN97" s="196">
        <v>1352.6</v>
      </c>
      <c r="CO97" s="10">
        <v>1390</v>
      </c>
      <c r="DT97" s="310" t="s">
        <v>278</v>
      </c>
      <c r="DU97" s="311">
        <f>IF(AND($B$31="0",$B$12=0),"xxxx",EF96*EN97)</f>
        <v>0</v>
      </c>
      <c r="DV97" s="155"/>
      <c r="DW97" s="216"/>
      <c r="DX97" s="261">
        <f>DX96*EC92</f>
        <v>0</v>
      </c>
      <c r="DY97" s="262">
        <f>DY96*ED92</f>
        <v>0</v>
      </c>
      <c r="DZ97" s="262">
        <f>DZ96*EE92</f>
        <v>0</v>
      </c>
      <c r="EA97" s="263">
        <f>EA96*EF92</f>
        <v>0</v>
      </c>
      <c r="EB97" s="242">
        <f>SUM(DX97:EA97)</f>
        <v>0</v>
      </c>
      <c r="EC97" s="830" t="s">
        <v>280</v>
      </c>
      <c r="ED97" s="830"/>
      <c r="EE97" s="253" t="s">
        <v>279</v>
      </c>
      <c r="EF97" s="254">
        <v>0</v>
      </c>
      <c r="EN97" s="388">
        <f>EN94*EN91</f>
        <v>0</v>
      </c>
      <c r="EO97" s="388"/>
      <c r="EP97" s="383"/>
      <c r="EQ97" s="380"/>
      <c r="ER97" s="380"/>
      <c r="ES97" s="380"/>
      <c r="ET97" s="380"/>
    </row>
    <row r="98" spans="4:150" ht="24.95" customHeight="1" thickBot="1">
      <c r="AA98" s="38"/>
      <c r="AM98" s="59"/>
      <c r="AN98" s="59"/>
      <c r="AO98" s="59"/>
      <c r="AP98" s="59"/>
      <c r="AQ98" s="59"/>
      <c r="AR98" s="59"/>
      <c r="AS98" s="59"/>
      <c r="AT98" s="39"/>
      <c r="AU98" s="39"/>
      <c r="AV98" s="39"/>
      <c r="AW98" s="39"/>
      <c r="AX98" s="39"/>
      <c r="AY98" s="39"/>
      <c r="BF98" s="287"/>
      <c r="BH98" s="171"/>
      <c r="BI98" s="171"/>
      <c r="BK98" s="171"/>
      <c r="BL98" s="171"/>
      <c r="BM98" s="171"/>
      <c r="BN98" s="171"/>
      <c r="BO98" s="171"/>
      <c r="BP98" s="171"/>
      <c r="BQ98" s="171"/>
      <c r="BR98" s="171"/>
      <c r="BX98" s="184"/>
      <c r="BY98" s="184"/>
      <c r="CD98" s="193"/>
      <c r="CJ98" s="56">
        <f t="shared" si="38"/>
        <v>82</v>
      </c>
      <c r="CK98" s="245">
        <v>4</v>
      </c>
      <c r="CL98" s="245" t="s">
        <v>215</v>
      </c>
      <c r="CM98" s="195">
        <v>1492.1</v>
      </c>
      <c r="CN98" s="196">
        <v>1401.1</v>
      </c>
      <c r="CO98" s="10">
        <v>1490</v>
      </c>
      <c r="DT98" s="310" t="s">
        <v>281</v>
      </c>
      <c r="DU98" s="311">
        <f>IF(AND($B$31="0",$B$12=0),"xxxx",EF97*DV92)</f>
        <v>0</v>
      </c>
      <c r="DV98" s="266"/>
      <c r="DW98" s="266"/>
      <c r="DX98" s="267"/>
      <c r="DY98" s="267"/>
      <c r="DZ98" s="268"/>
      <c r="EA98" s="268"/>
      <c r="EB98" s="155"/>
      <c r="EP98" s="38"/>
      <c r="EQ98" s="380"/>
      <c r="ER98" s="380"/>
      <c r="ES98" s="380"/>
      <c r="ET98" s="380"/>
    </row>
    <row r="99" spans="4:150" ht="24.95" customHeight="1" thickBot="1">
      <c r="AM99" s="59"/>
      <c r="AN99" s="59"/>
      <c r="AO99" s="59"/>
      <c r="AP99" s="59"/>
      <c r="AQ99" s="59"/>
      <c r="AR99" s="59"/>
      <c r="AS99" s="59"/>
      <c r="AV99" s="39"/>
      <c r="BF99" s="287"/>
      <c r="BH99" s="171"/>
      <c r="BI99" s="171"/>
      <c r="BK99" s="171"/>
      <c r="BL99" s="171"/>
      <c r="BM99" s="171"/>
      <c r="BN99" s="171"/>
      <c r="BO99" s="171"/>
      <c r="BP99" s="171"/>
      <c r="BQ99" s="171"/>
      <c r="BR99" s="171"/>
      <c r="BX99" s="184"/>
      <c r="BY99" s="184"/>
      <c r="CD99" s="193"/>
      <c r="CJ99" s="56">
        <f t="shared" si="38"/>
        <v>83</v>
      </c>
      <c r="CK99" s="245">
        <v>2</v>
      </c>
      <c r="CL99" s="245" t="s">
        <v>216</v>
      </c>
      <c r="CM99" s="195">
        <v>1268.5999999999999</v>
      </c>
      <c r="CN99" s="196">
        <v>1272.3</v>
      </c>
      <c r="CO99" s="10">
        <v>1330</v>
      </c>
      <c r="DT99" s="310" t="s">
        <v>282</v>
      </c>
      <c r="DU99" s="312">
        <f>IF(AND($B$31="0",$B$12=0),"xxxx",IF((DV99="Bioraria"),EB96,EB97))</f>
        <v>1.5362447402186701</v>
      </c>
      <c r="DV99" s="858" t="s">
        <v>283</v>
      </c>
      <c r="DW99" s="859"/>
      <c r="DX99" s="270" t="s">
        <v>284</v>
      </c>
      <c r="DY99" s="216"/>
      <c r="DZ99" s="860" t="s">
        <v>285</v>
      </c>
      <c r="EA99" s="861"/>
      <c r="EB99" s="271"/>
    </row>
    <row r="100" spans="4:150" ht="24.95" customHeight="1" thickBot="1">
      <c r="AM100" s="59"/>
      <c r="AN100" s="59"/>
      <c r="AO100" s="59"/>
      <c r="AP100" s="59"/>
      <c r="AQ100" s="59"/>
      <c r="AR100" s="59"/>
      <c r="AS100" s="59"/>
      <c r="AW100" s="39"/>
      <c r="AX100" s="39"/>
      <c r="AY100" s="39"/>
      <c r="BF100" s="287"/>
      <c r="BH100" s="171"/>
      <c r="BI100" s="171"/>
      <c r="BK100" s="171"/>
      <c r="BL100" s="171"/>
      <c r="BM100" s="171"/>
      <c r="BN100" s="171"/>
      <c r="BO100" s="171"/>
      <c r="BP100" s="171"/>
      <c r="BQ100" s="171"/>
      <c r="BR100" s="171"/>
      <c r="BX100" s="184"/>
      <c r="BY100" s="184"/>
      <c r="CD100" s="193"/>
      <c r="CJ100" s="56">
        <f t="shared" si="38"/>
        <v>84</v>
      </c>
      <c r="CK100" s="245">
        <v>2</v>
      </c>
      <c r="CL100" s="245" t="s">
        <v>217</v>
      </c>
      <c r="CM100" s="195">
        <v>1250.9000000000001</v>
      </c>
      <c r="CN100" s="196">
        <v>1311.6</v>
      </c>
      <c r="CO100" s="10">
        <v>1330</v>
      </c>
      <c r="DT100" s="310" t="s">
        <v>287</v>
      </c>
      <c r="DU100" s="311">
        <f>IF(AND($B$31="0",$B$12=0),'FOGLIO RACCOLTA DATI DI CONSUMO'!B21/1.1,SUM(DU95:DU99))</f>
        <v>13.928227205972092</v>
      </c>
      <c r="DV100" s="248"/>
      <c r="DW100" s="248"/>
      <c r="DX100" s="272">
        <v>0.1</v>
      </c>
      <c r="DY100" s="216"/>
      <c r="DZ100" s="863">
        <f>DU100*(1+DX100)</f>
        <v>15.321049926569303</v>
      </c>
      <c r="EA100" s="864"/>
      <c r="EB100" s="271"/>
    </row>
    <row r="101" spans="4:150" ht="24.95" customHeight="1">
      <c r="AM101" s="59"/>
      <c r="AN101" s="59"/>
      <c r="AO101" s="59"/>
      <c r="AP101" s="59"/>
      <c r="AQ101" s="59"/>
      <c r="AR101" s="59"/>
      <c r="AS101" s="59"/>
      <c r="AT101" s="59"/>
      <c r="AU101" s="292"/>
      <c r="BF101" s="287"/>
      <c r="BH101" s="171"/>
      <c r="BI101" s="171"/>
      <c r="BK101" s="171"/>
      <c r="BL101" s="171"/>
      <c r="BM101" s="171"/>
      <c r="BN101" s="171"/>
      <c r="BO101" s="171"/>
      <c r="BP101" s="171"/>
      <c r="BQ101" s="171"/>
      <c r="BR101" s="171"/>
      <c r="BX101" s="184"/>
      <c r="BY101" s="184"/>
      <c r="CD101" s="193"/>
      <c r="CJ101" s="56">
        <f t="shared" si="38"/>
        <v>85</v>
      </c>
      <c r="CK101" s="245">
        <v>5</v>
      </c>
      <c r="CL101" s="245" t="s">
        <v>218</v>
      </c>
      <c r="CM101" s="195">
        <v>1645.9</v>
      </c>
      <c r="CN101" s="196">
        <v>1462.4</v>
      </c>
      <c r="CO101" s="10">
        <v>1630</v>
      </c>
    </row>
    <row r="102" spans="4:150" ht="24.95" customHeight="1" thickBot="1">
      <c r="AM102" s="59"/>
      <c r="AN102" s="59"/>
      <c r="AO102" s="59"/>
      <c r="AP102" s="59"/>
      <c r="AQ102" s="59"/>
      <c r="AR102" s="59"/>
      <c r="AS102" s="59"/>
      <c r="AT102" s="193"/>
      <c r="BF102" s="287"/>
      <c r="BH102" s="171"/>
      <c r="BI102" s="171"/>
      <c r="BK102" s="171"/>
      <c r="BL102" s="171"/>
      <c r="BM102" s="171"/>
      <c r="BN102" s="171"/>
      <c r="BO102" s="171"/>
      <c r="BP102" s="171"/>
      <c r="BQ102" s="171"/>
      <c r="BR102" s="171"/>
      <c r="BX102" s="184"/>
      <c r="BY102" s="184"/>
      <c r="CD102" s="193"/>
      <c r="CJ102" s="56">
        <f t="shared" si="38"/>
        <v>86</v>
      </c>
      <c r="CK102" s="245">
        <v>2</v>
      </c>
      <c r="CL102" s="245" t="s">
        <v>219</v>
      </c>
      <c r="CM102" s="195">
        <v>1366.6</v>
      </c>
      <c r="CN102" s="196">
        <v>1139.3</v>
      </c>
      <c r="CO102" s="10">
        <v>1190</v>
      </c>
    </row>
    <row r="103" spans="4:150" ht="24.95" customHeight="1" thickTop="1" thickBot="1">
      <c r="AM103" s="59"/>
      <c r="AN103" s="59"/>
      <c r="AO103" s="59"/>
      <c r="AP103" s="59"/>
      <c r="AQ103" s="59"/>
      <c r="AR103" s="59"/>
      <c r="AS103" s="59"/>
      <c r="BF103" s="287"/>
      <c r="BH103" s="171"/>
      <c r="BI103" s="171"/>
      <c r="BK103" s="171"/>
      <c r="BL103" s="171"/>
      <c r="BM103" s="171"/>
      <c r="BN103" s="171"/>
      <c r="BO103" s="171"/>
      <c r="BP103" s="171"/>
      <c r="BQ103" s="171"/>
      <c r="BR103" s="171"/>
      <c r="BX103" s="184"/>
      <c r="BY103" s="184"/>
      <c r="CD103" s="193"/>
      <c r="CJ103" s="56">
        <f t="shared" si="38"/>
        <v>87</v>
      </c>
      <c r="CK103" s="245">
        <v>4</v>
      </c>
      <c r="CL103" s="245" t="s">
        <v>220</v>
      </c>
      <c r="CM103" s="195">
        <v>1500.9</v>
      </c>
      <c r="CN103" s="196">
        <v>1377.8</v>
      </c>
      <c r="CO103" s="10">
        <v>1460</v>
      </c>
      <c r="DT103" s="831" t="s">
        <v>264</v>
      </c>
      <c r="DU103" s="831"/>
      <c r="DV103" s="204" t="s">
        <v>265</v>
      </c>
      <c r="DW103" s="205">
        <f>EA103</f>
        <v>62</v>
      </c>
      <c r="DX103" s="832" t="s">
        <v>266</v>
      </c>
      <c r="DY103" s="832"/>
      <c r="DZ103" s="204" t="s">
        <v>265</v>
      </c>
      <c r="EA103" s="205">
        <v>62</v>
      </c>
      <c r="EB103" s="206"/>
      <c r="EC103" s="833" t="s">
        <v>267</v>
      </c>
      <c r="ED103" s="833"/>
      <c r="EE103" s="833"/>
      <c r="EF103" s="833"/>
      <c r="EM103" s="383" t="s">
        <v>403</v>
      </c>
      <c r="EN103" s="383"/>
      <c r="EO103" s="383"/>
      <c r="EP103" s="383"/>
      <c r="ER103" s="375"/>
      <c r="ES103" s="380"/>
      <c r="ET103" s="380"/>
    </row>
    <row r="104" spans="4:150" ht="24.95" customHeight="1" thickBot="1">
      <c r="AM104" s="59"/>
      <c r="AN104" s="59"/>
      <c r="AO104" s="59"/>
      <c r="AP104" s="59"/>
      <c r="AQ104" s="59"/>
      <c r="AR104" s="59"/>
      <c r="AS104" s="59"/>
      <c r="AT104" s="184"/>
      <c r="BF104" s="287"/>
      <c r="BH104" s="171"/>
      <c r="BI104" s="171"/>
      <c r="BK104" s="171"/>
      <c r="BL104" s="171"/>
      <c r="BM104" s="171"/>
      <c r="BN104" s="171"/>
      <c r="BO104" s="171"/>
      <c r="BP104" s="171"/>
      <c r="BQ104" s="171"/>
      <c r="BR104" s="171"/>
      <c r="BX104" s="184"/>
      <c r="BY104" s="184"/>
      <c r="CD104" s="193"/>
      <c r="CJ104" s="56">
        <f t="shared" si="38"/>
        <v>88</v>
      </c>
      <c r="CK104" s="245">
        <v>2</v>
      </c>
      <c r="CL104" s="245" t="s">
        <v>221</v>
      </c>
      <c r="CM104" s="195">
        <v>1356.3</v>
      </c>
      <c r="CN104" s="196">
        <v>1295.8</v>
      </c>
      <c r="CO104" s="10">
        <v>1370</v>
      </c>
      <c r="DT104" s="297" t="s">
        <v>200</v>
      </c>
      <c r="DU104" s="298" t="s">
        <v>201</v>
      </c>
      <c r="DV104" s="207" t="s">
        <v>268</v>
      </c>
      <c r="DW104" s="208">
        <v>0.17260273972602741</v>
      </c>
      <c r="DX104" s="209"/>
      <c r="DY104" s="209"/>
      <c r="DZ104" s="207" t="s">
        <v>268</v>
      </c>
      <c r="EA104" s="210">
        <f>EA103/365</f>
        <v>0.16986301369863013</v>
      </c>
      <c r="EB104" s="155"/>
      <c r="EC104" s="155" t="s">
        <v>253</v>
      </c>
      <c r="ED104" s="155" t="s">
        <v>254</v>
      </c>
      <c r="EE104" s="155" t="s">
        <v>255</v>
      </c>
      <c r="EF104" s="155" t="s">
        <v>256</v>
      </c>
      <c r="EN104" s="384" t="s">
        <v>404</v>
      </c>
      <c r="EO104" s="384" t="s">
        <v>405</v>
      </c>
      <c r="ER104" s="375">
        <v>365</v>
      </c>
      <c r="ES104" s="380"/>
      <c r="ET104" s="380"/>
    </row>
    <row r="105" spans="4:150" ht="24.95" customHeight="1" thickBot="1">
      <c r="AM105" s="59"/>
      <c r="AN105" s="59"/>
      <c r="AO105" s="59"/>
      <c r="AP105" s="59"/>
      <c r="AQ105" s="59"/>
      <c r="AR105" s="59"/>
      <c r="AS105" s="59"/>
      <c r="BF105" s="287"/>
      <c r="BH105" s="171"/>
      <c r="BI105" s="171"/>
      <c r="BK105" s="171"/>
      <c r="BL105" s="171"/>
      <c r="BM105" s="171"/>
      <c r="BN105" s="171"/>
      <c r="BO105" s="171"/>
      <c r="BP105" s="171"/>
      <c r="BQ105" s="171"/>
      <c r="BR105" s="171"/>
      <c r="BX105" s="184"/>
      <c r="BY105" s="184"/>
      <c r="CD105" s="193"/>
      <c r="CJ105" s="56">
        <f t="shared" si="38"/>
        <v>89</v>
      </c>
      <c r="CK105" s="245">
        <v>2</v>
      </c>
      <c r="CL105" s="245" t="s">
        <v>222</v>
      </c>
      <c r="CM105" s="195">
        <v>1264.0999999999999</v>
      </c>
      <c r="CN105" s="196">
        <v>1315.7</v>
      </c>
      <c r="CO105" s="10">
        <v>1370</v>
      </c>
      <c r="DT105" s="299" t="s">
        <v>269</v>
      </c>
      <c r="DU105" s="299" t="s">
        <v>270</v>
      </c>
      <c r="DV105" s="155" t="s">
        <v>271</v>
      </c>
      <c r="DW105" s="155"/>
      <c r="DX105" s="212" t="s">
        <v>253</v>
      </c>
      <c r="DY105" s="212" t="s">
        <v>254</v>
      </c>
      <c r="DZ105" s="213" t="s">
        <v>255</v>
      </c>
      <c r="EA105" s="213" t="s">
        <v>256</v>
      </c>
      <c r="EB105" s="155"/>
      <c r="EC105" s="214">
        <v>1800</v>
      </c>
      <c r="ED105" s="214">
        <v>2640</v>
      </c>
      <c r="EE105" s="214">
        <v>4440</v>
      </c>
      <c r="EF105" s="214"/>
      <c r="EN105" s="387">
        <f>EA103</f>
        <v>62</v>
      </c>
      <c r="EO105" s="387">
        <f>DV109</f>
        <v>236.21882231528707</v>
      </c>
      <c r="ER105" s="375">
        <v>365</v>
      </c>
      <c r="ES105" s="380"/>
      <c r="ET105" s="380"/>
    </row>
    <row r="106" spans="4:150" ht="24.95" customHeight="1" thickBot="1">
      <c r="AM106" s="59"/>
      <c r="AN106" s="59"/>
      <c r="AO106" s="59"/>
      <c r="AP106" s="59"/>
      <c r="AQ106" s="59"/>
      <c r="AR106" s="59"/>
      <c r="AS106" s="59"/>
      <c r="BF106" s="287"/>
      <c r="BH106" s="171"/>
      <c r="BI106" s="171"/>
      <c r="BK106" s="171"/>
      <c r="BL106" s="171"/>
      <c r="BM106" s="171"/>
      <c r="BN106" s="171"/>
      <c r="BO106" s="171"/>
      <c r="BP106" s="171"/>
      <c r="BQ106" s="171"/>
      <c r="BR106" s="171"/>
      <c r="BX106" s="184"/>
      <c r="BY106" s="184"/>
      <c r="CD106" s="193"/>
      <c r="CJ106" s="56">
        <f t="shared" si="38"/>
        <v>90</v>
      </c>
      <c r="CK106" s="245">
        <v>1</v>
      </c>
      <c r="CL106" s="245" t="s">
        <v>223</v>
      </c>
      <c r="CM106" s="195">
        <v>1221.2</v>
      </c>
      <c r="CN106" s="196">
        <v>1232.9000000000001</v>
      </c>
      <c r="CO106" s="10">
        <v>1210</v>
      </c>
      <c r="DT106" s="300">
        <v>3971</v>
      </c>
      <c r="DU106" s="301"/>
      <c r="DV106" s="215">
        <f>IF(AND($B$31="0",$B$12=0),"xxxx",6/100*($BG$17+$BG$18))</f>
        <v>14.173129338917224</v>
      </c>
      <c r="DW106" s="216"/>
      <c r="DX106" s="217">
        <f>(DV106*DX113)/DV109</f>
        <v>14.173129338917224</v>
      </c>
      <c r="DY106" s="217">
        <f>(DV106*DY113)/DV109</f>
        <v>0</v>
      </c>
      <c r="DZ106" s="217">
        <f>(DV106*DZ113)/DV109</f>
        <v>0</v>
      </c>
      <c r="EA106" s="217">
        <f>(DV106*EA113)/DV109</f>
        <v>0</v>
      </c>
      <c r="EB106" s="218"/>
      <c r="EC106" s="219">
        <f t="shared" ref="EC106:EF107" si="39">EC12</f>
        <v>0.11321200000000001</v>
      </c>
      <c r="ED106" s="219">
        <f t="shared" si="39"/>
        <v>0.16523199999999999</v>
      </c>
      <c r="EE106" s="219">
        <f t="shared" si="39"/>
        <v>0.23802200000000001</v>
      </c>
      <c r="EF106" s="219">
        <f t="shared" si="39"/>
        <v>0.23802200000000001</v>
      </c>
      <c r="EN106" s="385">
        <f>EA103</f>
        <v>62</v>
      </c>
      <c r="EO106" s="385">
        <f>DV109</f>
        <v>236.21882231528707</v>
      </c>
      <c r="ER106" s="375"/>
      <c r="ES106" s="380"/>
      <c r="ET106" s="380"/>
    </row>
    <row r="107" spans="4:150" ht="24.95" customHeight="1" thickBot="1">
      <c r="AM107" s="59"/>
      <c r="AN107" s="59"/>
      <c r="AO107" s="59"/>
      <c r="AP107" s="59"/>
      <c r="AQ107" s="59"/>
      <c r="AR107" s="59"/>
      <c r="AS107" s="59"/>
      <c r="BF107" s="287"/>
      <c r="BH107" s="171"/>
      <c r="BI107" s="171"/>
      <c r="BK107" s="171"/>
      <c r="BL107" s="171"/>
      <c r="BM107" s="171"/>
      <c r="BN107" s="171"/>
      <c r="BO107" s="171"/>
      <c r="BP107" s="171"/>
      <c r="BQ107" s="171"/>
      <c r="BR107" s="171"/>
      <c r="BX107" s="184"/>
      <c r="BY107" s="184"/>
      <c r="CD107" s="193"/>
      <c r="CJ107" s="56">
        <f t="shared" si="38"/>
        <v>91</v>
      </c>
      <c r="CK107" s="245">
        <v>5</v>
      </c>
      <c r="CL107" s="245" t="s">
        <v>224</v>
      </c>
      <c r="CM107" s="195">
        <v>1667.1</v>
      </c>
      <c r="CN107" s="196">
        <v>1454</v>
      </c>
      <c r="CO107" s="10">
        <v>1560</v>
      </c>
      <c r="DT107" s="302">
        <v>5469</v>
      </c>
      <c r="DU107" s="303"/>
      <c r="DV107" s="215">
        <f>IF(AND($B$31="0",$B$12=0),"xxxx",30/100*($BG$17+$BG$18))</f>
        <v>70.865646694586118</v>
      </c>
      <c r="DW107" s="216"/>
      <c r="DX107" s="225">
        <f>(DV107*DX113)/DV109</f>
        <v>70.865646694586133</v>
      </c>
      <c r="DY107" s="225">
        <f>(DV107*DY113)/DV109</f>
        <v>0</v>
      </c>
      <c r="DZ107" s="225">
        <f>(DV107*DZ113)/DV109</f>
        <v>0</v>
      </c>
      <c r="EA107" s="225">
        <f>(DV107*EA113)/DV109</f>
        <v>0</v>
      </c>
      <c r="EB107" s="218"/>
      <c r="EC107" s="219">
        <f t="shared" si="39"/>
        <v>0.106492</v>
      </c>
      <c r="ED107" s="219">
        <f t="shared" si="39"/>
        <v>0.15851199999999999</v>
      </c>
      <c r="EE107" s="219">
        <f t="shared" si="39"/>
        <v>0.23130200000000001</v>
      </c>
      <c r="EF107" s="219">
        <f t="shared" si="39"/>
        <v>0.23130200000000001</v>
      </c>
      <c r="ER107" s="375" t="s">
        <v>412</v>
      </c>
      <c r="ES107" s="380"/>
      <c r="ET107" s="380"/>
    </row>
    <row r="108" spans="4:150" ht="24.95" customHeight="1" thickBot="1">
      <c r="AM108" s="59"/>
      <c r="AN108" s="59"/>
      <c r="AO108" s="59"/>
      <c r="AP108" s="59"/>
      <c r="AQ108" s="59"/>
      <c r="AR108" s="59"/>
      <c r="AS108" s="59"/>
      <c r="BF108" s="287"/>
      <c r="BH108" s="171"/>
      <c r="BI108" s="171"/>
      <c r="BK108" s="171"/>
      <c r="BL108" s="171"/>
      <c r="BM108" s="171"/>
      <c r="BN108" s="171"/>
      <c r="BO108" s="171"/>
      <c r="BP108" s="171"/>
      <c r="BQ108" s="171"/>
      <c r="BR108" s="171"/>
      <c r="BX108" s="184"/>
      <c r="BY108" s="184"/>
      <c r="CD108" s="193"/>
      <c r="CJ108" s="56">
        <f t="shared" si="38"/>
        <v>92</v>
      </c>
      <c r="CK108" s="245">
        <v>2</v>
      </c>
      <c r="CL108" s="245" t="s">
        <v>225</v>
      </c>
      <c r="CM108" s="195">
        <v>1315</v>
      </c>
      <c r="CN108" s="196">
        <v>1199.5999999999999</v>
      </c>
      <c r="CO108" s="10">
        <v>1140</v>
      </c>
      <c r="DT108" s="304">
        <v>7624</v>
      </c>
      <c r="DU108" s="305"/>
      <c r="DV108" s="215">
        <f>IF(AND($B$31="0",$B$12=0),"xxxx",64/100*($BG$17+$BG$18))</f>
        <v>151.18004628178372</v>
      </c>
      <c r="DW108" s="216"/>
      <c r="DX108" s="225">
        <f>(DV108*DX113)/DV109</f>
        <v>151.18004628178372</v>
      </c>
      <c r="DY108" s="225">
        <f>(DV108*DY113)/DV109</f>
        <v>0</v>
      </c>
      <c r="DZ108" s="225">
        <f>(DV108*DZ113)/DV109</f>
        <v>0</v>
      </c>
      <c r="EA108" s="225">
        <f>(DV108*EA113)/DV109</f>
        <v>0</v>
      </c>
      <c r="EB108" s="218"/>
      <c r="EC108" s="229">
        <f>EC107</f>
        <v>0.106492</v>
      </c>
      <c r="ED108" s="230">
        <f>ED107</f>
        <v>0.15851199999999999</v>
      </c>
      <c r="EE108" s="230">
        <f>EE107</f>
        <v>0.23130200000000001</v>
      </c>
      <c r="EF108" s="231">
        <f>EF107</f>
        <v>0.23130200000000001</v>
      </c>
      <c r="EN108" s="377">
        <f>EN106/ER108</f>
        <v>2.0383561643835617</v>
      </c>
      <c r="EO108" s="377" t="s">
        <v>406</v>
      </c>
      <c r="ER108" s="375">
        <f>365/12</f>
        <v>30.416666666666668</v>
      </c>
      <c r="ES108" s="380"/>
      <c r="ET108" s="380"/>
    </row>
    <row r="109" spans="4:150" ht="24.95" customHeight="1" thickBot="1">
      <c r="AM109" s="59"/>
      <c r="AN109" s="59"/>
      <c r="AO109" s="59"/>
      <c r="AP109" s="59"/>
      <c r="AQ109" s="59"/>
      <c r="AR109" s="59"/>
      <c r="AS109" s="59"/>
      <c r="BF109" s="287"/>
      <c r="BH109" s="171"/>
      <c r="BI109" s="171"/>
      <c r="BK109" s="171"/>
      <c r="BL109" s="171"/>
      <c r="BM109" s="171"/>
      <c r="BN109" s="171"/>
      <c r="BO109" s="171"/>
      <c r="BP109" s="171"/>
      <c r="BQ109" s="171"/>
      <c r="BR109" s="171"/>
      <c r="BX109" s="184"/>
      <c r="BY109" s="184"/>
      <c r="CD109" s="193"/>
      <c r="CJ109" s="56">
        <f t="shared" si="38"/>
        <v>93</v>
      </c>
      <c r="CK109" s="245">
        <v>2</v>
      </c>
      <c r="CL109" s="245" t="s">
        <v>226</v>
      </c>
      <c r="CM109" s="195">
        <v>1253.8</v>
      </c>
      <c r="CN109" s="196">
        <v>1238.5</v>
      </c>
      <c r="CO109" s="10">
        <v>1210</v>
      </c>
      <c r="DT109" s="306">
        <f>SUM(DT106:DT108)</f>
        <v>17064</v>
      </c>
      <c r="DU109" s="306">
        <f>SUM(DU106:DU108)</f>
        <v>0</v>
      </c>
      <c r="DV109" s="156">
        <f>IF(SUM(DV106:DV108)=0,0.1,SUM(DV106:DV108))</f>
        <v>236.21882231528707</v>
      </c>
      <c r="DW109" s="155"/>
      <c r="DX109" s="233">
        <f>EC105*EA104</f>
        <v>305.75342465753425</v>
      </c>
      <c r="DY109" s="233">
        <f>ED105*EA104</f>
        <v>448.43835616438355</v>
      </c>
      <c r="DZ109" s="233">
        <f>EE105*EA104</f>
        <v>754.19178082191775</v>
      </c>
      <c r="EA109" s="233"/>
      <c r="EB109" s="234"/>
      <c r="EC109" s="235"/>
      <c r="ED109" s="236"/>
      <c r="EE109" s="236"/>
      <c r="EF109" s="237"/>
      <c r="EN109" s="377">
        <f>EO106/EN108</f>
        <v>115.88692223801046</v>
      </c>
      <c r="EO109" s="377" t="s">
        <v>407</v>
      </c>
      <c r="ES109" s="380"/>
      <c r="ET109" s="380"/>
    </row>
    <row r="110" spans="4:150" ht="24.95" customHeight="1" thickBot="1">
      <c r="D110" s="38"/>
      <c r="AM110" s="59"/>
      <c r="AN110" s="59"/>
      <c r="AO110" s="59"/>
      <c r="AP110" s="59"/>
      <c r="AQ110" s="59"/>
      <c r="AR110" s="59"/>
      <c r="AS110" s="59"/>
      <c r="AW110" s="5"/>
      <c r="AX110" s="5"/>
      <c r="AY110" s="5"/>
      <c r="BF110" s="287"/>
      <c r="BH110" s="171"/>
      <c r="BI110" s="171"/>
      <c r="BK110" s="171"/>
      <c r="BL110" s="171"/>
      <c r="BM110" s="171"/>
      <c r="BN110" s="171"/>
      <c r="BO110" s="171"/>
      <c r="BP110" s="171"/>
      <c r="BQ110" s="171"/>
      <c r="BR110" s="171"/>
      <c r="BX110" s="184"/>
      <c r="BY110" s="184"/>
      <c r="CD110" s="193"/>
      <c r="CJ110" s="56">
        <f t="shared" si="38"/>
        <v>94</v>
      </c>
      <c r="CK110" s="245">
        <v>1</v>
      </c>
      <c r="CL110" s="245" t="s">
        <v>227</v>
      </c>
      <c r="CM110" s="195">
        <v>1199.4000000000001</v>
      </c>
      <c r="CN110" s="196">
        <v>1197.3</v>
      </c>
      <c r="CO110" s="10">
        <v>1220</v>
      </c>
      <c r="DT110" s="307" t="s">
        <v>273</v>
      </c>
      <c r="DU110" s="308">
        <f>IF($B$31="0",'FOGLIO RACCOLTA DATI DI CONSUMO'!$B$14,IF($BG$20&lt;3000,3,'FOGLIO RACCOLTA DATI DI CONSUMO'!$B$14))</f>
        <v>3</v>
      </c>
      <c r="DV110" s="238"/>
      <c r="DW110" s="216"/>
      <c r="DX110" s="239">
        <f t="shared" ref="DX110:EA112" si="40">DX106*EC106</f>
        <v>1.6045683187174968</v>
      </c>
      <c r="DY110" s="240">
        <f t="shared" si="40"/>
        <v>0</v>
      </c>
      <c r="DZ110" s="240">
        <f t="shared" si="40"/>
        <v>0</v>
      </c>
      <c r="EA110" s="241">
        <f t="shared" si="40"/>
        <v>0</v>
      </c>
      <c r="EB110" s="242">
        <f>SUM(DX110:EA110)</f>
        <v>1.6045683187174968</v>
      </c>
      <c r="EC110" s="243"/>
      <c r="ED110" s="243"/>
      <c r="EE110" s="243"/>
      <c r="EF110" s="244"/>
      <c r="EN110" s="377">
        <f>IF(EN109&gt;370,0,IF(EN109&gt;220,150-(EN109-220),150))</f>
        <v>150</v>
      </c>
      <c r="EO110" s="377" t="s">
        <v>408</v>
      </c>
      <c r="ES110" s="380"/>
      <c r="ET110" s="380"/>
    </row>
    <row r="111" spans="4:150" ht="24.95" customHeight="1" thickBot="1">
      <c r="E111" s="38"/>
      <c r="AB111" s="38"/>
      <c r="AC111" s="38"/>
      <c r="AD111" s="38"/>
      <c r="AE111" s="38"/>
      <c r="AF111" s="38"/>
      <c r="AG111" s="38"/>
      <c r="AH111" s="38"/>
      <c r="AM111" s="59"/>
      <c r="AN111" s="59"/>
      <c r="AO111" s="59"/>
      <c r="AP111" s="59"/>
      <c r="AQ111" s="59"/>
      <c r="AR111" s="59"/>
      <c r="AS111" s="59"/>
      <c r="AW111" s="5"/>
      <c r="AX111" s="5"/>
      <c r="AY111" s="5"/>
      <c r="BF111" s="287"/>
      <c r="BH111" s="171"/>
      <c r="BI111" s="171"/>
      <c r="BK111" s="171"/>
      <c r="BL111" s="171"/>
      <c r="BM111" s="171"/>
      <c r="BN111" s="171"/>
      <c r="BO111" s="171"/>
      <c r="BP111" s="171"/>
      <c r="BQ111" s="171"/>
      <c r="BR111" s="171"/>
      <c r="BX111" s="184"/>
      <c r="BY111" s="184"/>
      <c r="CD111" s="193"/>
      <c r="CJ111" s="56">
        <f t="shared" si="38"/>
        <v>95</v>
      </c>
      <c r="CK111" s="245">
        <v>1</v>
      </c>
      <c r="CL111" s="245" t="s">
        <v>228</v>
      </c>
      <c r="CM111" s="195">
        <v>1159.5</v>
      </c>
      <c r="CN111" s="196">
        <v>1184.7</v>
      </c>
      <c r="CO111" s="10">
        <v>1170</v>
      </c>
      <c r="DT111" s="309"/>
      <c r="DU111" s="309"/>
      <c r="DV111" s="155"/>
      <c r="DW111" s="216"/>
      <c r="DX111" s="249">
        <f t="shared" si="40"/>
        <v>7.546624447799867</v>
      </c>
      <c r="DY111" s="250">
        <f t="shared" si="40"/>
        <v>0</v>
      </c>
      <c r="DZ111" s="250">
        <f t="shared" si="40"/>
        <v>0</v>
      </c>
      <c r="EA111" s="251">
        <f t="shared" si="40"/>
        <v>0</v>
      </c>
      <c r="EB111" s="242">
        <f>SUM(DX111:EA111)</f>
        <v>7.546624447799867</v>
      </c>
      <c r="EC111" s="252" t="s">
        <v>274</v>
      </c>
      <c r="ED111" s="252"/>
      <c r="EE111" s="253" t="s">
        <v>275</v>
      </c>
      <c r="EF111" s="254">
        <f>$EF$17</f>
        <v>42.784799999999997</v>
      </c>
      <c r="EN111" s="377">
        <f>IF(EN109&gt;EN110,EN109-EN110,0)</f>
        <v>0</v>
      </c>
      <c r="EO111" s="377" t="s">
        <v>409</v>
      </c>
      <c r="ES111" s="380"/>
      <c r="ET111" s="380"/>
    </row>
    <row r="112" spans="4:150" ht="24.95" customHeight="1" thickBot="1">
      <c r="V112" s="38"/>
      <c r="W112" s="38"/>
      <c r="Y112" s="38"/>
      <c r="Z112" s="38"/>
      <c r="AM112" s="59"/>
      <c r="AN112" s="59"/>
      <c r="AO112" s="59"/>
      <c r="AP112" s="59"/>
      <c r="AQ112" s="59"/>
      <c r="AR112" s="59"/>
      <c r="AS112" s="59"/>
      <c r="AW112" s="5"/>
      <c r="AX112" s="5"/>
      <c r="AY112" s="5"/>
      <c r="BF112" s="287"/>
      <c r="BH112" s="171"/>
      <c r="BI112" s="171"/>
      <c r="BK112" s="171"/>
      <c r="BL112" s="171"/>
      <c r="BM112" s="171"/>
      <c r="BN112" s="171"/>
      <c r="BO112" s="171"/>
      <c r="BP112" s="171"/>
      <c r="BQ112" s="171"/>
      <c r="BR112" s="171"/>
      <c r="BX112" s="184"/>
      <c r="BY112" s="184"/>
      <c r="CD112" s="193"/>
      <c r="CJ112" s="56">
        <f t="shared" si="38"/>
        <v>96</v>
      </c>
      <c r="CK112" s="245">
        <v>1</v>
      </c>
      <c r="CL112" s="245" t="s">
        <v>229</v>
      </c>
      <c r="CM112" s="195">
        <v>1183.9000000000001</v>
      </c>
      <c r="CN112" s="196">
        <v>1215.5</v>
      </c>
      <c r="CO112" s="10">
        <v>1220</v>
      </c>
      <c r="DT112" s="310" t="s">
        <v>274</v>
      </c>
      <c r="DU112" s="311">
        <f>IF(AND($B$31="0",$B$12=0),"xxxx",EF111*EA104)</f>
        <v>7.2675550684931496</v>
      </c>
      <c r="DV112" s="155"/>
      <c r="DW112" s="216"/>
      <c r="DX112" s="256">
        <f t="shared" si="40"/>
        <v>16.099465488639712</v>
      </c>
      <c r="DY112" s="257">
        <f t="shared" si="40"/>
        <v>0</v>
      </c>
      <c r="DZ112" s="257">
        <f t="shared" si="40"/>
        <v>0</v>
      </c>
      <c r="EA112" s="258">
        <f t="shared" si="40"/>
        <v>0</v>
      </c>
      <c r="EB112" s="242">
        <f>SUM(DX112:EA112)</f>
        <v>16.099465488639712</v>
      </c>
      <c r="EC112" s="830" t="s">
        <v>276</v>
      </c>
      <c r="ED112" s="830"/>
      <c r="EE112" s="253" t="s">
        <v>277</v>
      </c>
      <c r="EF112" s="254">
        <f>$EF$18</f>
        <v>10.055999999999999</v>
      </c>
      <c r="ES112" s="380"/>
      <c r="ET112" s="380"/>
    </row>
    <row r="113" spans="6:150" ht="24.95" customHeight="1" thickBot="1">
      <c r="Q113" s="198"/>
      <c r="R113" s="198"/>
      <c r="T113" s="38"/>
      <c r="U113" s="38"/>
      <c r="AM113" s="59"/>
      <c r="AN113" s="59"/>
      <c r="AO113" s="59"/>
      <c r="AP113" s="59"/>
      <c r="AQ113" s="59"/>
      <c r="AR113" s="59"/>
      <c r="AS113" s="59"/>
      <c r="AW113" s="5"/>
      <c r="AX113" s="5"/>
      <c r="AY113" s="5"/>
      <c r="BF113" s="287"/>
      <c r="BH113" s="171"/>
      <c r="BI113" s="171"/>
      <c r="BK113" s="171"/>
      <c r="BL113" s="171"/>
      <c r="BM113" s="171"/>
      <c r="BN113" s="171"/>
      <c r="BO113" s="171"/>
      <c r="BP113" s="171"/>
      <c r="BQ113" s="171"/>
      <c r="BR113" s="171"/>
      <c r="BX113" s="184"/>
      <c r="BY113" s="184"/>
      <c r="CD113" s="193"/>
      <c r="CJ113" s="56">
        <f t="shared" si="38"/>
        <v>97</v>
      </c>
      <c r="CK113" s="245">
        <v>2</v>
      </c>
      <c r="CL113" s="245" t="s">
        <v>230</v>
      </c>
      <c r="CM113" s="195">
        <v>1333.8</v>
      </c>
      <c r="CN113" s="196">
        <v>1248.7</v>
      </c>
      <c r="CO113" s="10">
        <v>1200</v>
      </c>
      <c r="DT113" s="310" t="s">
        <v>276</v>
      </c>
      <c r="DU113" s="311">
        <f>IF(AND($B$31="0",$B$12=0),"xxxx",(EF112*EA104)*DU110)</f>
        <v>5.1244273972602734</v>
      </c>
      <c r="DV113" s="155"/>
      <c r="DW113" s="155"/>
      <c r="DX113" s="233">
        <f>IF((DV109&lt;DX109),DV109,DX109)</f>
        <v>236.21882231528707</v>
      </c>
      <c r="DY113" s="233">
        <f>IF((DV109&lt;DY109),(DV109-DX113),(DY109-DX109))</f>
        <v>0</v>
      </c>
      <c r="DZ113" s="233">
        <f>IF((DV109&lt;DZ109),(DV109-SUM(DX113:DY113)),(DZ109-SUM(DX113:DY113)))</f>
        <v>0</v>
      </c>
      <c r="EA113" s="233">
        <f>IF((DV109&lt;DZ109),0,(DV109-SUM(DX113:DZ113)))</f>
        <v>0</v>
      </c>
      <c r="EB113" s="260">
        <f>SUM(EB110:EB112)</f>
        <v>25.250658255157077</v>
      </c>
      <c r="EC113" s="834" t="s">
        <v>278</v>
      </c>
      <c r="ED113" s="830"/>
      <c r="EE113" s="253" t="s">
        <v>279</v>
      </c>
      <c r="EF113" s="254">
        <v>2.2700000000000001E-2</v>
      </c>
      <c r="EM113" s="386" t="s">
        <v>410</v>
      </c>
      <c r="EN113" s="387"/>
      <c r="EO113" s="387"/>
      <c r="EP113" s="387"/>
      <c r="ES113" s="380"/>
      <c r="ET113" s="380"/>
    </row>
    <row r="114" spans="6:150" ht="24.95" customHeight="1" thickBot="1">
      <c r="AM114" s="59"/>
      <c r="AN114" s="59"/>
      <c r="AO114" s="59"/>
      <c r="AP114" s="59"/>
      <c r="AQ114" s="59"/>
      <c r="AR114" s="59"/>
      <c r="AS114" s="59"/>
      <c r="AW114" s="5"/>
      <c r="AX114" s="5"/>
      <c r="AY114" s="5"/>
      <c r="BF114" s="287"/>
      <c r="BH114" s="171"/>
      <c r="BI114" s="171"/>
      <c r="BK114" s="171"/>
      <c r="BL114" s="171"/>
      <c r="BM114" s="171"/>
      <c r="BN114" s="171"/>
      <c r="BO114" s="171"/>
      <c r="BP114" s="171"/>
      <c r="BQ114" s="171"/>
      <c r="BR114" s="171"/>
      <c r="BX114" s="184"/>
      <c r="BY114" s="184"/>
      <c r="CD114" s="193"/>
      <c r="CJ114" s="56">
        <f t="shared" si="38"/>
        <v>98</v>
      </c>
      <c r="CK114" s="245">
        <v>1</v>
      </c>
      <c r="CL114" s="245" t="s">
        <v>231</v>
      </c>
      <c r="CM114" s="195">
        <v>1186.7</v>
      </c>
      <c r="CN114" s="196">
        <v>1254</v>
      </c>
      <c r="CO114" s="10">
        <v>1200</v>
      </c>
      <c r="DT114" s="310" t="s">
        <v>278</v>
      </c>
      <c r="DU114" s="311">
        <f>IF(AND($B$31="0",$B$12=0),"xxxx",EF113*EN114)</f>
        <v>0</v>
      </c>
      <c r="DV114" s="155"/>
      <c r="DW114" s="216"/>
      <c r="DX114" s="261">
        <f>DX113*EC109</f>
        <v>0</v>
      </c>
      <c r="DY114" s="262">
        <f>DY113*ED109</f>
        <v>0</v>
      </c>
      <c r="DZ114" s="262">
        <f>DZ113*EE109</f>
        <v>0</v>
      </c>
      <c r="EA114" s="263">
        <f>EA113*EF109</f>
        <v>0</v>
      </c>
      <c r="EB114" s="242">
        <f>SUM(DX114:EA114)</f>
        <v>0</v>
      </c>
      <c r="EC114" s="830" t="s">
        <v>280</v>
      </c>
      <c r="ED114" s="830"/>
      <c r="EE114" s="253" t="s">
        <v>279</v>
      </c>
      <c r="EF114" s="254">
        <v>0</v>
      </c>
      <c r="EN114" s="388">
        <f>EN111*EN108</f>
        <v>0</v>
      </c>
      <c r="EO114" s="388"/>
      <c r="EP114" s="383"/>
      <c r="EQ114" s="380"/>
      <c r="ER114" s="380"/>
      <c r="ES114" s="380"/>
      <c r="ET114" s="380"/>
    </row>
    <row r="115" spans="6:150" ht="24.95" customHeight="1" thickBot="1">
      <c r="AM115" s="59"/>
      <c r="AN115" s="59"/>
      <c r="AO115" s="59"/>
      <c r="AP115" s="59"/>
      <c r="AQ115" s="59"/>
      <c r="AR115" s="59"/>
      <c r="AS115" s="59"/>
      <c r="AW115" s="5"/>
      <c r="AX115" s="5"/>
      <c r="AY115" s="5"/>
      <c r="BF115" s="287"/>
      <c r="BH115" s="171"/>
      <c r="BI115" s="171"/>
      <c r="BK115" s="171"/>
      <c r="BL115" s="171"/>
      <c r="BM115" s="171"/>
      <c r="BN115" s="171"/>
      <c r="BO115" s="171"/>
      <c r="BP115" s="171"/>
      <c r="BQ115" s="171"/>
      <c r="BR115" s="171"/>
      <c r="BX115" s="184"/>
      <c r="BY115" s="184"/>
      <c r="CD115" s="193"/>
      <c r="CJ115" s="56">
        <f t="shared" si="38"/>
        <v>99</v>
      </c>
      <c r="CK115" s="245">
        <v>1</v>
      </c>
      <c r="CL115" s="245" t="s">
        <v>232</v>
      </c>
      <c r="CM115" s="195">
        <v>1186.7</v>
      </c>
      <c r="CN115" s="196">
        <v>1254</v>
      </c>
      <c r="CO115" s="10">
        <v>1260</v>
      </c>
      <c r="DT115" s="310" t="s">
        <v>281</v>
      </c>
      <c r="DU115" s="311">
        <f>IF(AND($B$31="0",$B$12=0),"xxxx",EF114*DV109)</f>
        <v>0</v>
      </c>
      <c r="DV115" s="266"/>
      <c r="DW115" s="266"/>
      <c r="DX115" s="267"/>
      <c r="DY115" s="267"/>
      <c r="DZ115" s="268"/>
      <c r="EA115" s="268"/>
      <c r="EB115" s="155"/>
      <c r="EP115" s="38"/>
      <c r="EQ115" s="380"/>
      <c r="ER115" s="380"/>
      <c r="ES115" s="380"/>
      <c r="ET115" s="380"/>
    </row>
    <row r="116" spans="6:150" ht="24.95" customHeight="1" thickBot="1">
      <c r="AM116" s="59"/>
      <c r="AN116" s="59"/>
      <c r="AO116" s="59"/>
      <c r="AP116" s="59"/>
      <c r="AQ116" s="59"/>
      <c r="AR116" s="59"/>
      <c r="AS116" s="59"/>
      <c r="AW116" s="5"/>
      <c r="AX116" s="5"/>
      <c r="AY116" s="5"/>
      <c r="BF116" s="287"/>
      <c r="BH116" s="171"/>
      <c r="BI116" s="171"/>
      <c r="BK116" s="171"/>
      <c r="BL116" s="171"/>
      <c r="BM116" s="171"/>
      <c r="BN116" s="171"/>
      <c r="BO116" s="171"/>
      <c r="BP116" s="171"/>
      <c r="BQ116" s="171"/>
      <c r="BR116" s="171"/>
      <c r="BX116" s="184"/>
      <c r="BY116" s="184"/>
      <c r="CD116" s="193"/>
      <c r="CJ116" s="56">
        <f t="shared" si="38"/>
        <v>100</v>
      </c>
      <c r="CK116" s="245">
        <v>1</v>
      </c>
      <c r="CL116" s="245" t="s">
        <v>233</v>
      </c>
      <c r="CM116" s="195">
        <v>1149.8</v>
      </c>
      <c r="CN116" s="196">
        <v>1253.4000000000001</v>
      </c>
      <c r="CO116" s="10">
        <v>1170</v>
      </c>
      <c r="DT116" s="310" t="s">
        <v>282</v>
      </c>
      <c r="DU116" s="312">
        <f>IF(AND($B$31="0",$B$12=0),"xxxx",IF((DV116="Bioraria"),EB113,EB114))</f>
        <v>25.250658255157077</v>
      </c>
      <c r="DV116" s="858" t="s">
        <v>283</v>
      </c>
      <c r="DW116" s="859"/>
      <c r="DX116" s="270" t="s">
        <v>284</v>
      </c>
      <c r="DY116" s="216"/>
      <c r="DZ116" s="860" t="s">
        <v>285</v>
      </c>
      <c r="EA116" s="861"/>
      <c r="EB116" s="271"/>
    </row>
    <row r="117" spans="6:150" ht="24.95" customHeight="1" thickBot="1">
      <c r="F117" s="520"/>
      <c r="G117" s="198"/>
      <c r="H117" s="198"/>
      <c r="I117" s="198"/>
      <c r="J117" s="38"/>
      <c r="K117" s="198"/>
      <c r="M117" s="38"/>
      <c r="N117" s="38"/>
      <c r="O117" s="198"/>
      <c r="P117" s="198"/>
      <c r="AM117" s="59"/>
      <c r="AN117" s="59"/>
      <c r="AO117" s="59"/>
      <c r="AP117" s="59"/>
      <c r="AQ117" s="59"/>
      <c r="AR117" s="59"/>
      <c r="AS117" s="59"/>
      <c r="AW117" s="5"/>
      <c r="AX117" s="5"/>
      <c r="AY117" s="5"/>
      <c r="BF117" s="287"/>
      <c r="BH117" s="171"/>
      <c r="BI117" s="171"/>
      <c r="BK117" s="171"/>
      <c r="BL117" s="171"/>
      <c r="BM117" s="171"/>
      <c r="BN117" s="171"/>
      <c r="BO117" s="171"/>
      <c r="BP117" s="171"/>
      <c r="BQ117" s="171"/>
      <c r="BR117" s="171"/>
      <c r="BX117" s="184"/>
      <c r="BY117" s="184"/>
      <c r="CD117" s="193"/>
      <c r="CJ117" s="56">
        <f t="shared" si="38"/>
        <v>101</v>
      </c>
      <c r="CK117" s="245">
        <v>1</v>
      </c>
      <c r="CL117" s="245" t="s">
        <v>234</v>
      </c>
      <c r="CM117" s="195">
        <v>1201.9000000000001</v>
      </c>
      <c r="CN117" s="196">
        <v>1250</v>
      </c>
      <c r="CO117" s="10">
        <v>1170</v>
      </c>
      <c r="DT117" s="310" t="s">
        <v>287</v>
      </c>
      <c r="DU117" s="311">
        <f>IF(AND($B$31="0",$B$12=0),'FOGLIO RACCOLTA DATI DI CONSUMO'!B22/1.1,SUM(DU112:DU116))</f>
        <v>37.642640720910499</v>
      </c>
      <c r="DV117" s="248"/>
      <c r="DW117" s="248"/>
      <c r="DX117" s="272">
        <v>0.1</v>
      </c>
      <c r="DY117" s="216"/>
      <c r="DZ117" s="863">
        <f>DU117*(1+DX117)</f>
        <v>41.406904793001551</v>
      </c>
      <c r="EA117" s="864"/>
      <c r="EB117" s="271"/>
    </row>
    <row r="118" spans="6:150" ht="24.95" customHeight="1">
      <c r="L118" s="198"/>
      <c r="AM118" s="59"/>
      <c r="AN118" s="59"/>
      <c r="AO118" s="59"/>
      <c r="AP118" s="59"/>
      <c r="AQ118" s="59"/>
      <c r="AR118" s="59"/>
      <c r="AS118" s="59"/>
      <c r="AW118" s="292"/>
      <c r="AX118" s="292"/>
      <c r="AY118" s="292"/>
      <c r="BF118" s="287"/>
      <c r="BH118" s="171"/>
      <c r="BI118" s="171"/>
      <c r="BK118" s="171"/>
      <c r="BL118" s="171"/>
      <c r="BN118" s="171"/>
      <c r="BO118" s="171"/>
      <c r="BP118" s="171"/>
      <c r="BQ118" s="171"/>
      <c r="BR118" s="171"/>
      <c r="BX118" s="184"/>
      <c r="BY118" s="184"/>
      <c r="CD118" s="193"/>
      <c r="CJ118" s="56">
        <f t="shared" si="38"/>
        <v>102</v>
      </c>
      <c r="CK118" s="245">
        <v>2</v>
      </c>
      <c r="CL118" s="245" t="s">
        <v>235</v>
      </c>
      <c r="CM118" s="195">
        <v>1322.3</v>
      </c>
      <c r="CN118" s="196">
        <v>1349.4</v>
      </c>
      <c r="CO118" s="10">
        <v>1390</v>
      </c>
    </row>
    <row r="119" spans="6:150" ht="24.95" customHeight="1">
      <c r="AM119" s="59"/>
      <c r="AN119" s="59"/>
      <c r="AO119" s="59"/>
      <c r="AP119" s="59"/>
      <c r="AQ119" s="59"/>
      <c r="AR119" s="59"/>
      <c r="AS119" s="59"/>
      <c r="BN119" s="171"/>
      <c r="BO119" s="171"/>
      <c r="BP119" s="171"/>
      <c r="BQ119" s="171"/>
      <c r="BR119" s="171"/>
      <c r="BX119" s="184"/>
      <c r="BY119" s="184"/>
      <c r="CD119" s="193"/>
      <c r="CK119" s="211"/>
      <c r="CL119" s="211"/>
      <c r="CM119" s="196"/>
      <c r="CN119" s="196"/>
    </row>
    <row r="120" spans="6:150" ht="24.95" customHeight="1">
      <c r="AM120" s="59"/>
      <c r="AN120" s="59"/>
      <c r="AO120" s="59"/>
      <c r="AP120" s="59"/>
      <c r="AQ120" s="59"/>
      <c r="AR120" s="59"/>
      <c r="AS120" s="59"/>
      <c r="BX120" s="184"/>
      <c r="BY120" s="184"/>
      <c r="CD120" s="193"/>
      <c r="CZ120" s="184"/>
      <c r="DA120" s="59"/>
      <c r="DD120" s="186"/>
      <c r="DE120" s="193"/>
    </row>
    <row r="121" spans="6:150" ht="24.95" customHeight="1">
      <c r="AM121" s="59"/>
      <c r="AN121" s="59"/>
      <c r="AO121" s="59"/>
      <c r="AP121" s="59"/>
      <c r="AQ121" s="59"/>
      <c r="AR121" s="59"/>
      <c r="AS121" s="59"/>
      <c r="AT121" s="184"/>
      <c r="AU121" s="59"/>
      <c r="AY121" s="293"/>
      <c r="BX121" s="184"/>
      <c r="BY121" s="184"/>
      <c r="CD121" s="193"/>
    </row>
    <row r="122" spans="6:150" ht="24.95" customHeight="1">
      <c r="AM122" s="59"/>
      <c r="AN122" s="59"/>
      <c r="AO122" s="59"/>
      <c r="AP122" s="59"/>
      <c r="AQ122" s="59"/>
      <c r="AR122" s="59"/>
      <c r="AS122" s="59"/>
      <c r="AT122" s="59"/>
      <c r="BX122" s="184"/>
      <c r="BY122" s="184"/>
      <c r="CD122" s="193"/>
      <c r="CQ122" s="290"/>
    </row>
    <row r="123" spans="6:150" ht="24.95" customHeight="1">
      <c r="AM123" s="59"/>
      <c r="AN123" s="59"/>
      <c r="AO123" s="59"/>
      <c r="AP123" s="59"/>
      <c r="AQ123" s="59"/>
      <c r="AR123" s="59"/>
      <c r="AS123" s="59"/>
      <c r="AU123" s="294"/>
      <c r="AV123" s="295"/>
      <c r="AW123" s="295"/>
      <c r="AX123" s="295"/>
      <c r="AY123" s="295"/>
      <c r="BX123" s="184"/>
      <c r="BY123" s="184"/>
      <c r="CD123" s="193"/>
      <c r="CQ123" s="290"/>
    </row>
    <row r="124" spans="6:150" ht="24.95" customHeight="1">
      <c r="AM124" s="59"/>
      <c r="AN124" s="59"/>
      <c r="AO124" s="59"/>
      <c r="AP124" s="59"/>
      <c r="AQ124" s="59"/>
      <c r="AR124" s="59"/>
      <c r="AS124" s="59"/>
      <c r="AU124" s="294"/>
      <c r="AV124" s="295"/>
      <c r="AW124" s="295"/>
      <c r="AX124" s="295"/>
      <c r="AY124" s="295"/>
      <c r="BX124" s="184"/>
      <c r="BY124" s="184"/>
      <c r="CD124" s="193"/>
      <c r="CQ124" s="290"/>
    </row>
    <row r="125" spans="6:150" ht="24.95" customHeight="1">
      <c r="AQ125" s="59"/>
      <c r="AR125" s="59"/>
      <c r="AS125" s="59"/>
      <c r="AT125" s="184"/>
      <c r="AU125" s="59"/>
      <c r="AV125" s="292"/>
      <c r="AW125" s="292"/>
      <c r="AX125" s="292"/>
      <c r="AY125" s="292"/>
      <c r="BX125" s="184"/>
      <c r="BY125" s="184"/>
      <c r="CD125" s="193"/>
      <c r="CQ125" s="290"/>
    </row>
    <row r="126" spans="6:150" ht="24.95" customHeight="1">
      <c r="AQ126" s="59"/>
      <c r="AR126" s="59"/>
      <c r="AS126" s="59"/>
      <c r="AT126" s="184"/>
      <c r="AU126" s="59"/>
      <c r="AV126" s="292"/>
      <c r="AW126" s="292"/>
      <c r="AX126" s="292"/>
      <c r="AY126" s="292"/>
      <c r="BX126" s="184"/>
      <c r="BY126" s="184"/>
      <c r="CD126" s="193"/>
      <c r="CQ126" s="290"/>
    </row>
    <row r="127" spans="6:150" ht="24.95" customHeight="1">
      <c r="AQ127" s="59"/>
      <c r="AR127" s="59"/>
      <c r="AS127" s="59"/>
      <c r="AT127" s="184"/>
      <c r="AU127" s="59"/>
      <c r="AV127" s="292"/>
      <c r="AW127" s="292"/>
      <c r="AX127" s="292"/>
      <c r="AY127" s="292"/>
      <c r="BX127" s="184"/>
      <c r="BY127" s="184"/>
      <c r="CD127" s="193"/>
      <c r="CQ127" s="290"/>
    </row>
    <row r="128" spans="6:150" ht="24.95" customHeight="1">
      <c r="AQ128" s="59"/>
      <c r="AR128" s="59"/>
      <c r="AS128" s="59"/>
      <c r="AT128" s="184"/>
      <c r="AU128" s="59"/>
      <c r="AV128" s="292"/>
      <c r="AW128" s="292"/>
      <c r="AX128" s="292"/>
      <c r="AY128" s="292"/>
      <c r="BX128" s="184"/>
      <c r="BY128" s="184"/>
      <c r="CD128" s="193"/>
      <c r="CQ128" s="290"/>
    </row>
    <row r="129" spans="43:95" ht="24.95" customHeight="1">
      <c r="AQ129" s="59"/>
      <c r="AR129" s="59"/>
      <c r="AS129" s="59"/>
      <c r="AT129" s="193"/>
      <c r="BX129" s="184"/>
      <c r="BY129" s="184"/>
      <c r="CD129" s="193"/>
      <c r="CQ129" s="290"/>
    </row>
    <row r="130" spans="43:95" ht="24.95" customHeight="1">
      <c r="AQ130" s="59"/>
      <c r="AR130" s="59"/>
      <c r="AS130" s="59"/>
      <c r="AT130" s="193"/>
      <c r="BX130" s="184"/>
      <c r="BY130" s="184"/>
      <c r="CD130" s="193"/>
    </row>
    <row r="131" spans="43:95" ht="24.95" customHeight="1">
      <c r="AQ131" s="59"/>
      <c r="AR131" s="59"/>
      <c r="AS131" s="59"/>
      <c r="AT131" s="193"/>
      <c r="BX131" s="184"/>
      <c r="BY131" s="184"/>
      <c r="CD131" s="193"/>
    </row>
    <row r="132" spans="43:95" ht="24.95" customHeight="1">
      <c r="AQ132" s="59"/>
      <c r="AR132" s="59"/>
      <c r="AS132" s="59"/>
      <c r="AT132" s="193"/>
      <c r="BX132" s="184"/>
      <c r="BY132" s="184"/>
      <c r="CD132" s="193"/>
    </row>
    <row r="133" spans="43:95" ht="24.95" customHeight="1">
      <c r="AQ133" s="59"/>
      <c r="AR133" s="59"/>
      <c r="AS133" s="59"/>
      <c r="AT133" s="56"/>
      <c r="BX133" s="184"/>
      <c r="BY133" s="184"/>
      <c r="CD133" s="193"/>
    </row>
    <row r="134" spans="43:95" ht="24.95" customHeight="1">
      <c r="AQ134" s="59"/>
      <c r="AR134" s="59"/>
      <c r="AS134" s="59"/>
      <c r="AT134" s="56"/>
      <c r="BX134" s="184"/>
      <c r="BY134" s="184"/>
      <c r="CD134" s="193"/>
    </row>
    <row r="135" spans="43:95" ht="24.95" customHeight="1">
      <c r="AQ135" s="59"/>
      <c r="AR135" s="59"/>
      <c r="AS135" s="59"/>
      <c r="AT135" s="56"/>
      <c r="BX135" s="184"/>
      <c r="BY135" s="184"/>
      <c r="CD135" s="193"/>
    </row>
    <row r="136" spans="43:95" ht="24.95" customHeight="1">
      <c r="AQ136" s="59"/>
      <c r="AR136" s="59"/>
      <c r="AS136" s="59"/>
      <c r="AT136" s="56"/>
      <c r="BX136" s="184"/>
      <c r="BY136" s="184"/>
      <c r="CD136" s="193"/>
    </row>
    <row r="137" spans="43:95" ht="24.95" customHeight="1">
      <c r="AQ137" s="59"/>
      <c r="AR137" s="59"/>
      <c r="AS137" s="59"/>
      <c r="AT137" s="56"/>
      <c r="BX137" s="184"/>
      <c r="BY137" s="184"/>
      <c r="CD137" s="193"/>
    </row>
    <row r="138" spans="43:95" ht="24.95" customHeight="1">
      <c r="AQ138" s="59"/>
      <c r="AR138" s="59"/>
      <c r="AS138" s="59"/>
      <c r="AT138" s="56"/>
      <c r="BX138" s="184"/>
      <c r="BY138" s="184"/>
      <c r="CD138" s="193"/>
    </row>
    <row r="139" spans="43:95" ht="24.95" customHeight="1">
      <c r="AQ139" s="59"/>
      <c r="AR139" s="59"/>
      <c r="AS139" s="59"/>
      <c r="AT139" s="56"/>
      <c r="BX139" s="184"/>
      <c r="BY139" s="184"/>
      <c r="CD139" s="193"/>
    </row>
    <row r="140" spans="43:95" ht="24.95" customHeight="1">
      <c r="AQ140" s="59"/>
      <c r="AR140" s="59"/>
      <c r="AS140" s="59"/>
      <c r="AT140" s="56"/>
      <c r="BX140" s="184"/>
      <c r="BY140" s="184"/>
      <c r="CD140" s="193"/>
    </row>
    <row r="141" spans="43:95" ht="24.95" customHeight="1">
      <c r="AQ141" s="59"/>
      <c r="AR141" s="59"/>
      <c r="AS141" s="59"/>
      <c r="AT141" s="56"/>
      <c r="BX141" s="184"/>
      <c r="BY141" s="184"/>
      <c r="CD141" s="193"/>
    </row>
    <row r="142" spans="43:95" ht="24.95" customHeight="1">
      <c r="AQ142" s="59"/>
      <c r="AR142" s="59"/>
      <c r="AS142" s="59"/>
      <c r="AT142" s="56"/>
      <c r="BX142" s="184"/>
      <c r="BY142" s="184"/>
      <c r="CD142" s="193"/>
    </row>
    <row r="143" spans="43:95" ht="24.95" customHeight="1">
      <c r="AQ143" s="59"/>
      <c r="AR143" s="59"/>
      <c r="AS143" s="59"/>
      <c r="AT143" s="56"/>
      <c r="BX143" s="184"/>
      <c r="BY143" s="184"/>
      <c r="CD143" s="193"/>
    </row>
    <row r="144" spans="43:95" ht="24.95" customHeight="1">
      <c r="AQ144" s="59"/>
      <c r="AR144" s="59"/>
      <c r="AS144" s="59"/>
      <c r="AT144" s="56"/>
      <c r="BX144" s="184"/>
      <c r="BY144" s="184"/>
      <c r="CD144" s="193"/>
    </row>
    <row r="145" spans="43:82" ht="24.95" customHeight="1">
      <c r="AQ145" s="59"/>
      <c r="AR145" s="59"/>
      <c r="AS145" s="59"/>
      <c r="AT145" s="56"/>
      <c r="BX145" s="184"/>
      <c r="BY145" s="184"/>
      <c r="CD145" s="193"/>
    </row>
    <row r="146" spans="43:82" ht="24.95" customHeight="1">
      <c r="AQ146" s="59"/>
      <c r="AR146" s="59"/>
      <c r="AS146" s="59"/>
      <c r="AT146" s="56"/>
      <c r="BX146" s="184"/>
      <c r="BY146" s="184"/>
      <c r="CD146" s="193"/>
    </row>
    <row r="147" spans="43:82" ht="24.95" customHeight="1">
      <c r="AQ147" s="59"/>
      <c r="AR147" s="59"/>
      <c r="AS147" s="59"/>
      <c r="AT147" s="56"/>
      <c r="BX147" s="184"/>
      <c r="BY147" s="184"/>
      <c r="CD147" s="193"/>
    </row>
    <row r="148" spans="43:82" ht="24.95" customHeight="1">
      <c r="AQ148" s="59"/>
      <c r="AR148" s="59"/>
      <c r="AS148" s="59"/>
      <c r="AT148" s="56"/>
      <c r="BX148" s="184"/>
      <c r="BY148" s="184"/>
      <c r="CD148" s="193"/>
    </row>
    <row r="149" spans="43:82" ht="24.95" customHeight="1">
      <c r="AQ149" s="59"/>
      <c r="AR149" s="59"/>
      <c r="AS149" s="59"/>
      <c r="AT149" s="56"/>
      <c r="BX149" s="184"/>
      <c r="BY149" s="184"/>
      <c r="CD149" s="193"/>
    </row>
    <row r="150" spans="43:82" ht="24.95" customHeight="1">
      <c r="AQ150" s="59"/>
      <c r="AR150" s="59"/>
      <c r="AS150" s="59"/>
      <c r="AT150" s="56"/>
      <c r="BX150" s="184"/>
      <c r="BY150" s="184"/>
      <c r="CD150" s="193"/>
    </row>
    <row r="151" spans="43:82" ht="24.95" customHeight="1">
      <c r="AQ151" s="59"/>
      <c r="AR151" s="59"/>
      <c r="AS151" s="59"/>
      <c r="AT151" s="56"/>
      <c r="BX151" s="184"/>
      <c r="BY151" s="184"/>
      <c r="CD151" s="193"/>
    </row>
    <row r="152" spans="43:82" ht="24.95" customHeight="1">
      <c r="AQ152" s="59"/>
      <c r="AR152" s="59"/>
      <c r="AS152" s="59"/>
      <c r="AT152" s="56"/>
      <c r="BX152" s="184"/>
      <c r="BY152" s="184"/>
      <c r="CD152" s="193"/>
    </row>
    <row r="153" spans="43:82" ht="24.95" customHeight="1">
      <c r="AT153" s="56"/>
      <c r="BX153" s="184"/>
      <c r="BY153" s="184"/>
      <c r="CD153" s="193"/>
    </row>
    <row r="154" spans="43:82" ht="24.95" customHeight="1">
      <c r="AT154" s="56"/>
      <c r="BX154" s="184"/>
      <c r="BY154" s="184"/>
      <c r="CD154" s="193"/>
    </row>
    <row r="155" spans="43:82" ht="24.95" customHeight="1">
      <c r="AT155" s="56"/>
      <c r="BX155" s="184"/>
      <c r="BY155" s="184"/>
      <c r="CD155" s="193"/>
    </row>
    <row r="156" spans="43:82" ht="24.95" customHeight="1">
      <c r="AT156" s="56"/>
    </row>
    <row r="157" spans="43:82" ht="24.95" customHeight="1">
      <c r="AT157" s="56"/>
    </row>
    <row r="158" spans="43:82" ht="24.95" customHeight="1">
      <c r="AT158" s="56"/>
    </row>
    <row r="159" spans="43:82" ht="24.95" customHeight="1">
      <c r="AT159" s="56"/>
    </row>
    <row r="160" spans="43:82" ht="24.95" customHeight="1">
      <c r="AT160" s="56"/>
    </row>
    <row r="161" spans="46:46" ht="24.95" customHeight="1">
      <c r="AT161" s="56"/>
    </row>
    <row r="162" spans="46:46" ht="24.95" customHeight="1">
      <c r="AT162" s="56"/>
    </row>
    <row r="163" spans="46:46" ht="24.95" customHeight="1">
      <c r="AT163" s="56"/>
    </row>
    <row r="164" spans="46:46" ht="24.95" customHeight="1">
      <c r="AT164" s="56"/>
    </row>
    <row r="165" spans="46:46" ht="24.95" customHeight="1">
      <c r="AT165" s="56"/>
    </row>
    <row r="166" spans="46:46">
      <c r="AT166" s="56"/>
    </row>
    <row r="167" spans="46:46">
      <c r="AT167" s="56"/>
    </row>
    <row r="168" spans="46:46">
      <c r="AT168" s="56"/>
    </row>
    <row r="169" spans="46:46">
      <c r="AT169" s="56"/>
    </row>
    <row r="170" spans="46:46">
      <c r="AT170" s="56"/>
    </row>
    <row r="171" spans="46:46">
      <c r="AT171" s="56"/>
    </row>
    <row r="172" spans="46:46">
      <c r="AT172" s="56"/>
    </row>
    <row r="173" spans="46:46">
      <c r="AT173" s="56"/>
    </row>
    <row r="174" spans="46:46">
      <c r="AT174" s="56"/>
    </row>
    <row r="175" spans="46:46">
      <c r="AT175" s="56"/>
    </row>
    <row r="176" spans="46:46">
      <c r="AT176" s="56"/>
    </row>
    <row r="177" spans="46:46">
      <c r="AT177" s="56"/>
    </row>
    <row r="178" spans="46:46">
      <c r="AT178" s="56"/>
    </row>
    <row r="179" spans="46:46">
      <c r="AT179" s="56"/>
    </row>
    <row r="180" spans="46:46">
      <c r="AT180" s="56"/>
    </row>
    <row r="181" spans="46:46">
      <c r="AT181" s="56"/>
    </row>
    <row r="182" spans="46:46">
      <c r="AT182" s="56"/>
    </row>
    <row r="183" spans="46:46">
      <c r="AT183" s="56"/>
    </row>
    <row r="184" spans="46:46">
      <c r="AT184" s="56"/>
    </row>
    <row r="185" spans="46:46">
      <c r="AT185" s="56"/>
    </row>
    <row r="186" spans="46:46">
      <c r="AT186" s="56"/>
    </row>
    <row r="187" spans="46:46">
      <c r="AT187" s="56"/>
    </row>
    <row r="188" spans="46:46">
      <c r="AT188" s="56"/>
    </row>
    <row r="189" spans="46:46">
      <c r="AT189" s="56"/>
    </row>
    <row r="190" spans="46:46">
      <c r="AT190" s="56"/>
    </row>
    <row r="191" spans="46:46">
      <c r="AT191" s="56"/>
    </row>
    <row r="256" spans="1:1" ht="13.5" customHeight="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</sheetData>
  <sheetProtection password="DBEB" sheet="1" objects="1" scenarios="1"/>
  <protectedRanges>
    <protectedRange sqref="DT35 DU5:DU34 DR59 DK60 DX45 DU36:DU44 DU46:DU1048576" name="Intervallo6"/>
    <protectedRange sqref="B15:B16" name="Intervallo3"/>
    <protectedRange sqref="B38" name="Intervallo5"/>
    <protectedRange sqref="B8:B12" name="Intervallo2"/>
    <protectedRange sqref="B31" name="Intervallo1"/>
    <protectedRange sqref="DS3" name="Intervallo6_1"/>
  </protectedRanges>
  <mergeCells count="101">
    <mergeCell ref="DZ117:EA117"/>
    <mergeCell ref="DT103:DU103"/>
    <mergeCell ref="DZ62:EA62"/>
    <mergeCell ref="DV61:DW61"/>
    <mergeCell ref="DX68:DY68"/>
    <mergeCell ref="EC95:ED95"/>
    <mergeCell ref="EC96:ED96"/>
    <mergeCell ref="EC97:ED97"/>
    <mergeCell ref="DZ61:EA61"/>
    <mergeCell ref="DT68:DU68"/>
    <mergeCell ref="EC68:EF68"/>
    <mergeCell ref="EC77:ED77"/>
    <mergeCell ref="DZ82:EA82"/>
    <mergeCell ref="DT86:DU86"/>
    <mergeCell ref="DX86:DY86"/>
    <mergeCell ref="EC86:EF86"/>
    <mergeCell ref="EC78:ED78"/>
    <mergeCell ref="EC79:ED79"/>
    <mergeCell ref="DV81:DW81"/>
    <mergeCell ref="DZ81:EA81"/>
    <mergeCell ref="EC112:ED112"/>
    <mergeCell ref="EC113:ED113"/>
    <mergeCell ref="DV116:DW116"/>
    <mergeCell ref="DZ116:EA116"/>
    <mergeCell ref="DV99:DW99"/>
    <mergeCell ref="DZ99:EA99"/>
    <mergeCell ref="DZ100:EA100"/>
    <mergeCell ref="EC114:ED114"/>
    <mergeCell ref="DX103:DY103"/>
    <mergeCell ref="EC103:EF103"/>
    <mergeCell ref="C19:D19"/>
    <mergeCell ref="C17:D17"/>
    <mergeCell ref="C9:D9"/>
    <mergeCell ref="C10:D10"/>
    <mergeCell ref="EC59:ED59"/>
    <mergeCell ref="EC58:ED58"/>
    <mergeCell ref="EC57:ED57"/>
    <mergeCell ref="EC45:ED45"/>
    <mergeCell ref="EC48:EF48"/>
    <mergeCell ref="CR55:CU55"/>
    <mergeCell ref="DX48:DY48"/>
    <mergeCell ref="DT29:DU29"/>
    <mergeCell ref="DT48:DU48"/>
    <mergeCell ref="DT25:DU25"/>
    <mergeCell ref="C11:D11"/>
    <mergeCell ref="C12:D12"/>
    <mergeCell ref="C15:D15"/>
    <mergeCell ref="C14:D14"/>
    <mergeCell ref="EC40:ED40"/>
    <mergeCell ref="EC39:ED39"/>
    <mergeCell ref="EC38:ED38"/>
    <mergeCell ref="DV22:DW22"/>
    <mergeCell ref="DZ22:EA22"/>
    <mergeCell ref="DZ23:EA23"/>
    <mergeCell ref="DZ25:EA25"/>
    <mergeCell ref="DX29:DY29"/>
    <mergeCell ref="EC29:EF29"/>
    <mergeCell ref="DV42:DW42"/>
    <mergeCell ref="DZ42:EA42"/>
    <mergeCell ref="DW45:DX45"/>
    <mergeCell ref="DZ43:EA43"/>
    <mergeCell ref="C35:D35"/>
    <mergeCell ref="C36:D36"/>
    <mergeCell ref="C37:D37"/>
    <mergeCell ref="T45:T46"/>
    <mergeCell ref="U45:U46"/>
    <mergeCell ref="H48:N48"/>
    <mergeCell ref="O46:O48"/>
    <mergeCell ref="C38:D38"/>
    <mergeCell ref="C39:D39"/>
    <mergeCell ref="C40:D40"/>
    <mergeCell ref="C41:D41"/>
    <mergeCell ref="A4:D4"/>
    <mergeCell ref="A1:D1"/>
    <mergeCell ref="A2:D2"/>
    <mergeCell ref="A3:D3"/>
    <mergeCell ref="C33:D33"/>
    <mergeCell ref="C34:D34"/>
    <mergeCell ref="C29:D29"/>
    <mergeCell ref="C31:D31"/>
    <mergeCell ref="C32:D32"/>
    <mergeCell ref="A28:D28"/>
    <mergeCell ref="EC7:EF7"/>
    <mergeCell ref="EC20:ED20"/>
    <mergeCell ref="DT9:DU9"/>
    <mergeCell ref="DX9:DY9"/>
    <mergeCell ref="EC9:EF9"/>
    <mergeCell ref="EC18:ED18"/>
    <mergeCell ref="EC19:ED19"/>
    <mergeCell ref="DT7:DU7"/>
    <mergeCell ref="DX7:EA7"/>
    <mergeCell ref="CD5:CI5"/>
    <mergeCell ref="BW5:CB5"/>
    <mergeCell ref="AH5:AH6"/>
    <mergeCell ref="AI5:AI6"/>
    <mergeCell ref="C13:D13"/>
    <mergeCell ref="A20:A21"/>
    <mergeCell ref="B20:B21"/>
    <mergeCell ref="C20:D21"/>
    <mergeCell ref="C16:D16"/>
    <mergeCell ref="C18:D18"/>
  </mergeCells>
  <phoneticPr fontId="2" type="noConversion"/>
  <conditionalFormatting sqref="B25:B26">
    <cfRule type="cellIs" dxfId="3" priority="4" stopIfTrue="1" operator="equal">
      <formula>"NO"</formula>
    </cfRule>
  </conditionalFormatting>
  <conditionalFormatting sqref="C13:D13">
    <cfRule type="expression" dxfId="2" priority="1">
      <formula>$B$13&gt;6</formula>
    </cfRule>
    <cfRule type="cellIs" dxfId="1" priority="2" operator="greaterThan">
      <formula>6</formula>
    </cfRule>
    <cfRule type="cellIs" dxfId="0" priority="3" operator="greaterThan">
      <formula>$B$13&gt;6</formula>
    </cfRule>
  </conditionalFormatting>
  <dataValidations xWindow="381" yWindow="863" count="13">
    <dataValidation type="textLength" allowBlank="1" showInputMessage="1" showErrorMessage="1" sqref="N66:N90 BH45:BL57 BM57:CG59 BK58:BL1048576 BM43:DF43 BK44:BL44 BM61:DF1048576 BM60:BZ60 BM5:BM17 BL6:BL18 BM19:BM42 BL20:BL43 CI4:CQ4 CJ3:DD3 DF3:DP3 DR3 BM3:BR4 DS54:DT55 AA43:AA55 AA56:AB83 Y61:Z85 DD44:DF44 EM45 EE45 DZ45:EC45 DW46:DW47 BC21 BC6:BC19 BC29:BC44 BC58:BC1048576 DT5:DT53 BH6:BH7 DT56:DT1048576 DV45:DX45 EJ120:EJ1048576 EJ101:EJ114 BE6:BE44 BE58:BE1048576 EJ83:EJ97 EJ64:EJ79 DW10:DW28 EB61:EB1048576 EJ46:EJ58 BK6:BK43 DI33:DI34 DP33:DP34 CI5:CO34 CJ35:CO35 DH4:DH34 DI4:DI31 DJ4:DO34 BN5:CH42 DP4:DP31 CP5:CQ42 CI36:CO42 CH57:CQ58 CJ59:CQ59 CR36:DF42 CR57:DF59 CR4:DF34 CS35:DF35 CG60:DF60 EJ25:EJ40 EJ5:EJ21 DH54:DR1048576 DE45:DR53 DH35:DR44 EB46:EB59 DW69:DW85 DW104:DW1048576 DW87:DW102 DX5:DZ42 DX57:DZ1048576 DW57:DW67 DW43:DZ44 DW30:DW42 DW5:DW8 BE45:BF57 BH58:BI1048576 EB5:EB44 CP44:DC53 CP54:DF56 DX46:DZ53 DQ4:DR34 DW54:DZ56 DW49:DW53 BI6:BI44 T66:U67 V65:W66 BH20:BH44 AT3:AY42 AZ6:BA44 B17:B18 B22:B27 AT85:AY1048576 AZ86:BA1048576 BM44:CO56 B39:B40 B34:B37 B32:B33">
      <formula1>1000</formula1>
      <formula2>1001</formula2>
    </dataValidation>
    <dataValidation type="textLength" allowBlank="1" showInputMessage="1" showErrorMessage="1" sqref="A1:A1048576 B19:B21 C1:J1048576 L1:M1048576 K1:K49 K51:K1048576 K50">
      <formula1>1000</formula1>
      <formula2>1000</formula2>
    </dataValidation>
    <dataValidation type="list" allowBlank="1" showInputMessage="1" showErrorMessage="1" sqref="Y8 N8:R8 T8:W8 Z9">
      <formula1>#REF!</formula1>
    </dataValidation>
    <dataValidation type="textLength" allowBlank="1" showInputMessage="1" showErrorMessage="1" sqref="ER45 EO46:EO47 ET5:ET23 ES24 ER28 EO60:EO67 ET25:ET27 EO80 ET81:ET85 EO98 ET99:ET102 ET116:ET1048576 EO115 EO41:EO44">
      <formula1>10000</formula1>
      <formula2>10000</formula2>
    </dataValidation>
    <dataValidation type="list" allowBlank="1" showInputMessage="1" showErrorMessage="1" prompt="selezionare dal menu' a discesa" sqref="B9">
      <formula1>$BV$6:$CH$6</formula1>
    </dataValidation>
    <dataValidation type="list" allowBlank="1" showInputMessage="1" showErrorMessage="1" sqref="B10">
      <formula1>$BT$7:$BT$20</formula1>
    </dataValidation>
    <dataValidation type="decimal" allowBlank="1" showInputMessage="1" showErrorMessage="1" error="dimensioni tra 1 e 1000" sqref="B11:B12">
      <formula1>0</formula1>
      <formula2>1000</formula2>
    </dataValidation>
    <dataValidation type="list" allowBlank="1" showInputMessage="1" showErrorMessage="1" sqref="B15">
      <formula1>$CS$17:$CS$42</formula1>
    </dataValidation>
    <dataValidation type="list" allowBlank="1" showInputMessage="1" showErrorMessage="1" prompt="selezionare da menu' a discesa" sqref="B16">
      <formula1>$CS$17:$CS$42</formula1>
    </dataValidation>
    <dataValidation type="textLength" allowBlank="1" showInputMessage="1" showErrorMessage="1" error="dimensioni tra 1 e 1000" sqref="B13">
      <formula1>1000</formula1>
      <formula2>1000</formula2>
    </dataValidation>
    <dataValidation type="list" allowBlank="1" showInputMessage="1" showErrorMessage="1" prompt="selezionare da elenco a discesa" sqref="B31">
      <formula1>$EI$7:$EI$20</formula1>
    </dataValidation>
    <dataValidation type="whole" allowBlank="1" showInputMessage="1" showErrorMessage="1" error="importo massimo 3000 €" prompt="inserire costo maodopera per installazione del SOLO accumulo" sqref="B38">
      <formula1>0</formula1>
      <formula2>3000</formula2>
    </dataValidation>
    <dataValidation type="list" allowBlank="1" showInputMessage="1" showErrorMessage="1" prompt="selezionare dal menu' a discesa" sqref="B8">
      <formula1>$CL$17:$CL$118</formula1>
    </dataValidation>
  </dataValidations>
  <printOptions horizontalCentered="1"/>
  <pageMargins left="0.51181102362204722" right="0.51181102362204722" top="0.59055118110236227" bottom="0.51181102362204722" header="0.19685039370078741" footer="0.19685039370078741"/>
  <pageSetup paperSize="9" orientation="portrait" r:id="rId1"/>
  <headerFooter alignWithMargins="0">
    <oddHeader>&amp;C&amp;F  v 1,0</oddHeader>
    <oddFooter>&amp;R&amp;P/&amp;N</oddFooter>
  </headerFooter>
  <cellWatches>
    <cellWatch r="B29"/>
  </cellWatche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5">
    <pageSetUpPr fitToPage="1"/>
  </sheetPr>
  <dimension ref="A1:AP123"/>
  <sheetViews>
    <sheetView topLeftCell="B1" workbookViewId="0">
      <selection activeCell="O113" sqref="O113"/>
    </sheetView>
  </sheetViews>
  <sheetFormatPr defaultRowHeight="15"/>
  <cols>
    <col min="1" max="1" width="6.5703125" style="9" hidden="1" customWidth="1"/>
    <col min="2" max="4" width="14.7109375" style="9" customWidth="1"/>
    <col min="5" max="5" width="15.5703125" style="9" customWidth="1"/>
    <col min="6" max="6" width="11.7109375" style="9" customWidth="1"/>
    <col min="7" max="7" width="9.7109375" style="9" customWidth="1"/>
    <col min="8" max="8" width="12.7109375" style="9" customWidth="1"/>
    <col min="9" max="9" width="8.42578125" style="9" bestFit="1" customWidth="1"/>
    <col min="10" max="10" width="12.7109375" style="9" customWidth="1"/>
    <col min="11" max="11" width="14.7109375" style="9" customWidth="1"/>
    <col min="12" max="12" width="14.28515625" style="9" bestFit="1" customWidth="1"/>
    <col min="13" max="14" width="14.7109375" style="9" customWidth="1"/>
    <col min="15" max="15" width="12.7109375" style="9" customWidth="1"/>
    <col min="16" max="16" width="17.7109375" style="649" customWidth="1"/>
    <col min="17" max="17" width="33.140625" style="9" hidden="1" customWidth="1"/>
    <col min="18" max="18" width="10.85546875" style="9" hidden="1" customWidth="1"/>
    <col min="19" max="19" width="12.5703125" style="9" hidden="1" customWidth="1"/>
    <col min="20" max="20" width="8" style="9" hidden="1" customWidth="1"/>
    <col min="21" max="22" width="14.28515625" style="9" hidden="1" customWidth="1"/>
    <col min="23" max="23" width="24.140625" style="9" hidden="1" customWidth="1"/>
    <col min="24" max="24" width="17.5703125" style="9" hidden="1" customWidth="1"/>
    <col min="25" max="25" width="9" style="9" hidden="1" customWidth="1"/>
    <col min="26" max="33" width="9.140625" style="9" hidden="1" customWidth="1"/>
    <col min="34" max="34" width="13" style="9" hidden="1" customWidth="1"/>
    <col min="35" max="35" width="9.28515625" style="177" hidden="1" customWidth="1"/>
    <col min="36" max="36" width="11.28515625" style="9" hidden="1" customWidth="1"/>
    <col min="37" max="37" width="9.28515625" style="9" hidden="1" customWidth="1"/>
    <col min="38" max="42" width="9.140625" style="9" hidden="1" customWidth="1"/>
    <col min="43" max="62" width="0" style="9" hidden="1" customWidth="1"/>
    <col min="63" max="16384" width="9.140625" style="9"/>
  </cols>
  <sheetData>
    <row r="1" spans="2:39" ht="15.75" thickBot="1">
      <c r="J1" s="440"/>
    </row>
    <row r="2" spans="2:39" s="443" customFormat="1" ht="90" customHeight="1" thickTop="1">
      <c r="B2" s="582" t="s">
        <v>480</v>
      </c>
      <c r="C2" s="441" t="s">
        <v>158</v>
      </c>
      <c r="D2" s="441" t="s">
        <v>157</v>
      </c>
      <c r="E2" s="441" t="s">
        <v>177</v>
      </c>
      <c r="F2" s="442" t="s">
        <v>470</v>
      </c>
      <c r="G2" s="442" t="s">
        <v>471</v>
      </c>
      <c r="H2" s="442" t="s">
        <v>345</v>
      </c>
      <c r="I2" s="442" t="s">
        <v>478</v>
      </c>
      <c r="J2" s="442" t="s">
        <v>346</v>
      </c>
      <c r="K2" s="633" t="s">
        <v>472</v>
      </c>
      <c r="L2" s="630" t="s">
        <v>473</v>
      </c>
      <c r="M2" s="636" t="s">
        <v>474</v>
      </c>
      <c r="N2" s="583" t="s">
        <v>475</v>
      </c>
      <c r="O2" s="657" t="s">
        <v>481</v>
      </c>
      <c r="P2" s="659" t="s">
        <v>482</v>
      </c>
      <c r="Q2" s="658" t="s">
        <v>360</v>
      </c>
      <c r="Y2" s="443" t="s">
        <v>174</v>
      </c>
      <c r="AI2" s="444"/>
    </row>
    <row r="3" spans="2:39" ht="27.95" hidden="1" customHeight="1">
      <c r="B3" s="430">
        <v>0</v>
      </c>
      <c r="C3" s="431" t="s">
        <v>236</v>
      </c>
      <c r="D3" s="431" t="s">
        <v>334</v>
      </c>
      <c r="E3" s="431" t="s">
        <v>334</v>
      </c>
      <c r="F3" s="432">
        <v>0</v>
      </c>
      <c r="G3" s="432">
        <v>0</v>
      </c>
      <c r="H3" s="433" t="s">
        <v>347</v>
      </c>
      <c r="I3" s="432">
        <v>0</v>
      </c>
      <c r="J3" s="434">
        <v>0</v>
      </c>
      <c r="K3" s="634">
        <v>0</v>
      </c>
      <c r="L3" s="631">
        <v>0</v>
      </c>
      <c r="M3" s="637">
        <v>1.0000000000000001E-15</v>
      </c>
      <c r="N3" s="584">
        <v>0</v>
      </c>
      <c r="O3" s="429">
        <v>0</v>
      </c>
      <c r="P3" s="651"/>
      <c r="Q3" s="9">
        <f>X3+Y3</f>
        <v>0</v>
      </c>
      <c r="Y3" s="9">
        <v>0</v>
      </c>
    </row>
    <row r="4" spans="2:39" ht="27.95" customHeight="1">
      <c r="B4" s="650">
        <f>F4*G4/1000</f>
        <v>1.92</v>
      </c>
      <c r="C4" s="435">
        <f>B4*365*H4*J4</f>
        <v>565.89599999999996</v>
      </c>
      <c r="D4" s="436" t="s">
        <v>159</v>
      </c>
      <c r="E4" s="436" t="s">
        <v>176</v>
      </c>
      <c r="F4" s="432">
        <v>160</v>
      </c>
      <c r="G4" s="432">
        <v>12</v>
      </c>
      <c r="H4" s="434">
        <v>0.85</v>
      </c>
      <c r="I4" s="432">
        <v>7000</v>
      </c>
      <c r="J4" s="434">
        <v>0.95</v>
      </c>
      <c r="K4" s="635">
        <f>IF(Redditività!$Q$31="si","xxxxxxx",(AK19))</f>
        <v>1242</v>
      </c>
      <c r="L4" s="632">
        <f>IF(Redditività!$Q$31="si","xxxxxxx",($U$36))</f>
        <v>1255</v>
      </c>
      <c r="M4" s="638">
        <f>(K4+L4)</f>
        <v>2497</v>
      </c>
      <c r="N4" s="584">
        <f t="shared" ref="N4:N16" si="0">(X4+Y4)/O4</f>
        <v>0.23007887365472507</v>
      </c>
      <c r="O4" s="654">
        <f>B4*H4*J4*I4</f>
        <v>10852.8</v>
      </c>
      <c r="P4" s="660">
        <f>M4/B4</f>
        <v>1300.5208333333335</v>
      </c>
      <c r="Q4" s="9">
        <f>X4+Y4</f>
        <v>2497</v>
      </c>
      <c r="X4" s="293">
        <f>$AK$19</f>
        <v>1242</v>
      </c>
      <c r="Y4" s="323">
        <f>(($U$36))</f>
        <v>1255</v>
      </c>
    </row>
    <row r="5" spans="2:39" s="440" customFormat="1" ht="27.95" customHeight="1">
      <c r="B5" s="650">
        <f t="shared" ref="B5:B16" si="1">F5*G5/1000</f>
        <v>2.4</v>
      </c>
      <c r="C5" s="435">
        <f t="shared" ref="C5:C16" si="2">B5*365*H5*J5</f>
        <v>707.37</v>
      </c>
      <c r="D5" s="436" t="s">
        <v>425</v>
      </c>
      <c r="E5" s="436" t="s">
        <v>176</v>
      </c>
      <c r="F5" s="432">
        <v>200</v>
      </c>
      <c r="G5" s="432">
        <v>12</v>
      </c>
      <c r="H5" s="434">
        <v>0.85</v>
      </c>
      <c r="I5" s="432">
        <v>7000</v>
      </c>
      <c r="J5" s="434">
        <v>0.95</v>
      </c>
      <c r="K5" s="635">
        <f>IF(Redditività!$Q$31="si","xxxxxxx",($AK$22))</f>
        <v>1493</v>
      </c>
      <c r="L5" s="632">
        <f>IF([1]Redditività!$M$29="si","xxxxxxx",($U$36))</f>
        <v>1255</v>
      </c>
      <c r="M5" s="638">
        <f>(K5+L5)</f>
        <v>2748</v>
      </c>
      <c r="N5" s="584">
        <f t="shared" si="0"/>
        <v>0.20256523662096418</v>
      </c>
      <c r="O5" s="654">
        <f t="shared" ref="O5:O16" si="3">B5*H5*J5*I5</f>
        <v>13566</v>
      </c>
      <c r="P5" s="660">
        <f t="shared" ref="P5:P16" si="4">M5/B5</f>
        <v>1145</v>
      </c>
      <c r="Q5" s="440">
        <f>X5+Y5</f>
        <v>2748</v>
      </c>
      <c r="X5" s="293">
        <f>($AK$22)</f>
        <v>1493</v>
      </c>
      <c r="Y5" s="323">
        <f>(($U$36))</f>
        <v>1255</v>
      </c>
      <c r="AI5" s="177"/>
    </row>
    <row r="6" spans="2:39" ht="27.95" customHeight="1">
      <c r="B6" s="650">
        <f t="shared" si="1"/>
        <v>3.12</v>
      </c>
      <c r="C6" s="435">
        <f t="shared" si="2"/>
        <v>919.5809999999999</v>
      </c>
      <c r="D6" s="436" t="s">
        <v>160</v>
      </c>
      <c r="E6" s="436" t="s">
        <v>176</v>
      </c>
      <c r="F6" s="432">
        <v>260</v>
      </c>
      <c r="G6" s="432">
        <v>12</v>
      </c>
      <c r="H6" s="434">
        <v>0.85</v>
      </c>
      <c r="I6" s="432">
        <v>7000</v>
      </c>
      <c r="J6" s="434">
        <v>0.95</v>
      </c>
      <c r="K6" s="635">
        <f>IF(Redditività!$Q$31="si","xxxxxxx",($AK$25))</f>
        <v>1918</v>
      </c>
      <c r="L6" s="632">
        <f>IF(Redditività!$M$30="si","xxxxxxx",($U$36))</f>
        <v>1255</v>
      </c>
      <c r="M6" s="638">
        <f>IF(Redditività!$Q$31="si","xxxxxxx",(K6+L6))</f>
        <v>3173</v>
      </c>
      <c r="N6" s="584">
        <f t="shared" si="0"/>
        <v>0.17991812109459168</v>
      </c>
      <c r="O6" s="654">
        <f t="shared" si="3"/>
        <v>17635.8</v>
      </c>
      <c r="P6" s="660">
        <f t="shared" si="4"/>
        <v>1016.9871794871794</v>
      </c>
      <c r="Q6" s="9">
        <f t="shared" ref="Q6:Q16" si="5">X6+Y6</f>
        <v>3173</v>
      </c>
      <c r="X6" s="293">
        <f>(($AK$25))</f>
        <v>1918</v>
      </c>
      <c r="Y6" s="323">
        <f>($U$36)</f>
        <v>1255</v>
      </c>
    </row>
    <row r="7" spans="2:39" ht="27.95" customHeight="1">
      <c r="B7" s="650">
        <f t="shared" si="1"/>
        <v>3.6</v>
      </c>
      <c r="C7" s="435">
        <f t="shared" si="2"/>
        <v>1061.0549999999998</v>
      </c>
      <c r="D7" s="436" t="s">
        <v>161</v>
      </c>
      <c r="E7" s="436" t="s">
        <v>176</v>
      </c>
      <c r="F7" s="432">
        <v>300</v>
      </c>
      <c r="G7" s="432">
        <v>12</v>
      </c>
      <c r="H7" s="434">
        <v>0.85</v>
      </c>
      <c r="I7" s="432">
        <v>7000</v>
      </c>
      <c r="J7" s="434">
        <v>0.95</v>
      </c>
      <c r="K7" s="635">
        <f>IF(Redditività!$Q$31="si","xxxxxxx",($AK$28))</f>
        <v>2194</v>
      </c>
      <c r="L7" s="632">
        <f>IF(Redditività!$M$30="si","xxxxxxx",($U$36))</f>
        <v>1255</v>
      </c>
      <c r="M7" s="638">
        <f>IF(Redditività!$Q$31="si","xxxxxxx",(K7+L7))</f>
        <v>3449</v>
      </c>
      <c r="N7" s="584">
        <f t="shared" si="0"/>
        <v>0.1694923583468475</v>
      </c>
      <c r="O7" s="654">
        <f t="shared" si="3"/>
        <v>20349</v>
      </c>
      <c r="P7" s="660">
        <f t="shared" si="4"/>
        <v>958.05555555555554</v>
      </c>
      <c r="Q7" s="9">
        <f t="shared" si="5"/>
        <v>3449</v>
      </c>
      <c r="X7" s="293">
        <f>(($AK$28))</f>
        <v>2194</v>
      </c>
      <c r="Y7" s="323">
        <f>($U$36)</f>
        <v>1255</v>
      </c>
    </row>
    <row r="8" spans="2:39" ht="27.95" customHeight="1">
      <c r="B8" s="650">
        <f t="shared" si="1"/>
        <v>3.84</v>
      </c>
      <c r="C8" s="435">
        <f t="shared" si="2"/>
        <v>1131.7919999999999</v>
      </c>
      <c r="D8" s="436" t="s">
        <v>162</v>
      </c>
      <c r="E8" s="436" t="s">
        <v>145</v>
      </c>
      <c r="F8" s="432">
        <v>160</v>
      </c>
      <c r="G8" s="432">
        <v>24</v>
      </c>
      <c r="H8" s="434">
        <v>0.85</v>
      </c>
      <c r="I8" s="432">
        <v>7000</v>
      </c>
      <c r="J8" s="434">
        <v>0.95</v>
      </c>
      <c r="K8" s="635">
        <f>IF(Redditività!$Q$31="si","xxxxxxx",($AK$20))</f>
        <v>2467</v>
      </c>
      <c r="L8" s="632">
        <f>IF(Redditività!$Q$31="si","xxxxxxx",($U$38))</f>
        <v>2535</v>
      </c>
      <c r="M8" s="638">
        <f>IF(Redditività!$Q$31="si","xxxxxxx",(K8+L8))</f>
        <v>5002</v>
      </c>
      <c r="N8" s="584">
        <f t="shared" si="0"/>
        <v>0.23044744213474866</v>
      </c>
      <c r="O8" s="654">
        <f t="shared" si="3"/>
        <v>21705.599999999999</v>
      </c>
      <c r="P8" s="660">
        <f t="shared" si="4"/>
        <v>1302.6041666666667</v>
      </c>
      <c r="Q8" s="9">
        <f t="shared" si="5"/>
        <v>5002</v>
      </c>
      <c r="X8" s="293">
        <f>($AK$20)</f>
        <v>2467</v>
      </c>
      <c r="Y8" s="323">
        <f>($U$38)</f>
        <v>2535</v>
      </c>
      <c r="AH8" s="639"/>
      <c r="AJ8" s="639"/>
      <c r="AK8" s="639"/>
      <c r="AL8" s="639"/>
      <c r="AM8" s="639"/>
    </row>
    <row r="9" spans="2:39" ht="27.95" customHeight="1">
      <c r="B9" s="650">
        <f t="shared" si="1"/>
        <v>4.8</v>
      </c>
      <c r="C9" s="435">
        <f t="shared" si="2"/>
        <v>1414.74</v>
      </c>
      <c r="D9" s="436" t="s">
        <v>164</v>
      </c>
      <c r="E9" s="436" t="s">
        <v>144</v>
      </c>
      <c r="F9" s="432">
        <v>400</v>
      </c>
      <c r="G9" s="432">
        <v>12</v>
      </c>
      <c r="H9" s="434">
        <v>0.85</v>
      </c>
      <c r="I9" s="432">
        <v>7000</v>
      </c>
      <c r="J9" s="434">
        <v>0.95</v>
      </c>
      <c r="K9" s="635">
        <f>IF(Redditività!$Q$31="si","xxxxxxx",($AK$31))</f>
        <v>2907</v>
      </c>
      <c r="L9" s="632">
        <f>IF([1]Redditività!$M$29="si","xxxxxxx",($U$37))</f>
        <v>2455</v>
      </c>
      <c r="M9" s="638">
        <f>IF(Redditività!$Q$31="si","xxxxxxx",(K9+L9))</f>
        <v>5362</v>
      </c>
      <c r="N9" s="584">
        <f t="shared" si="0"/>
        <v>0.19762641898864808</v>
      </c>
      <c r="O9" s="654">
        <f t="shared" si="3"/>
        <v>27132</v>
      </c>
      <c r="P9" s="660">
        <f t="shared" si="4"/>
        <v>1117.0833333333335</v>
      </c>
      <c r="Q9" s="9">
        <f t="shared" si="5"/>
        <v>5362</v>
      </c>
      <c r="X9" s="293">
        <f>($AK$31)</f>
        <v>2907</v>
      </c>
      <c r="Y9" s="323">
        <f>($U$37)</f>
        <v>2455</v>
      </c>
      <c r="AH9" s="639"/>
      <c r="AJ9" s="639"/>
      <c r="AK9" s="639"/>
      <c r="AL9" s="639"/>
      <c r="AM9" s="639"/>
    </row>
    <row r="10" spans="2:39" ht="27.95" customHeight="1">
      <c r="B10" s="650">
        <f t="shared" si="1"/>
        <v>6.24</v>
      </c>
      <c r="C10" s="435">
        <f t="shared" si="2"/>
        <v>1839.1619999999998</v>
      </c>
      <c r="D10" s="436" t="s">
        <v>165</v>
      </c>
      <c r="E10" s="436" t="s">
        <v>145</v>
      </c>
      <c r="F10" s="437">
        <v>260</v>
      </c>
      <c r="G10" s="432">
        <v>24</v>
      </c>
      <c r="H10" s="434">
        <v>0.85</v>
      </c>
      <c r="I10" s="432">
        <v>7000</v>
      </c>
      <c r="J10" s="434">
        <v>0.95</v>
      </c>
      <c r="K10" s="635">
        <f>IF(Redditività!$Q$31="si","xxxxxxx",($AK$26))</f>
        <v>3809</v>
      </c>
      <c r="L10" s="632">
        <f>IF([1]Redditività!$M$29="si","xxxxxxx",($U$38))</f>
        <v>2535</v>
      </c>
      <c r="M10" s="638">
        <f>IF(Redditività!$Q$31="si","xxxxxxx",(K10+L10))</f>
        <v>6344</v>
      </c>
      <c r="N10" s="584">
        <f t="shared" si="0"/>
        <v>0.17986141825151114</v>
      </c>
      <c r="O10" s="654">
        <f t="shared" si="3"/>
        <v>35271.599999999999</v>
      </c>
      <c r="P10" s="660">
        <f t="shared" si="4"/>
        <v>1016.6666666666666</v>
      </c>
      <c r="Q10" s="9">
        <f t="shared" si="5"/>
        <v>6344</v>
      </c>
      <c r="X10" s="293">
        <f>($AK$26)</f>
        <v>3809</v>
      </c>
      <c r="Y10" s="323">
        <f>($U$38)</f>
        <v>2535</v>
      </c>
      <c r="AH10" s="639"/>
      <c r="AJ10" s="639"/>
      <c r="AK10" s="639"/>
      <c r="AL10" s="639"/>
      <c r="AM10" s="639"/>
    </row>
    <row r="11" spans="2:39" ht="27.95" customHeight="1">
      <c r="B11" s="650">
        <f t="shared" si="1"/>
        <v>7.2</v>
      </c>
      <c r="C11" s="435">
        <f t="shared" si="2"/>
        <v>2122.1099999999997</v>
      </c>
      <c r="D11" s="436" t="s">
        <v>166</v>
      </c>
      <c r="E11" s="436" t="s">
        <v>145</v>
      </c>
      <c r="F11" s="432">
        <v>300</v>
      </c>
      <c r="G11" s="432">
        <v>24</v>
      </c>
      <c r="H11" s="434">
        <v>0.85</v>
      </c>
      <c r="I11" s="432">
        <v>7000</v>
      </c>
      <c r="J11" s="434">
        <v>0.95</v>
      </c>
      <c r="K11" s="635">
        <f>IF(Redditività!$Q$31="si","xxxxxxx",($AK$29))</f>
        <v>4352</v>
      </c>
      <c r="L11" s="632">
        <f>IF(Redditività!$Q$31="si","xxxxxxx",($U$38))</f>
        <v>2535</v>
      </c>
      <c r="M11" s="638">
        <f>IF(Redditività!$Q$31="si","xxxxxxx",(K11+L11))</f>
        <v>6887</v>
      </c>
      <c r="N11" s="584">
        <f t="shared" si="0"/>
        <v>0.1692220747948302</v>
      </c>
      <c r="O11" s="654">
        <f t="shared" si="3"/>
        <v>40698</v>
      </c>
      <c r="P11" s="660">
        <f t="shared" si="4"/>
        <v>956.52777777777771</v>
      </c>
      <c r="Q11" s="9">
        <f t="shared" si="5"/>
        <v>6887</v>
      </c>
      <c r="X11" s="293">
        <f>($AK$29)</f>
        <v>4352</v>
      </c>
      <c r="Y11" s="323">
        <f>($U$38)</f>
        <v>2535</v>
      </c>
      <c r="AH11" s="639"/>
      <c r="AJ11" s="639"/>
      <c r="AK11" s="639"/>
      <c r="AL11" s="639"/>
      <c r="AM11" s="639"/>
    </row>
    <row r="12" spans="2:39" ht="27.95" customHeight="1">
      <c r="B12" s="650">
        <f t="shared" si="1"/>
        <v>7.68</v>
      </c>
      <c r="C12" s="435">
        <f t="shared" si="2"/>
        <v>2263.5839999999998</v>
      </c>
      <c r="D12" s="436" t="s">
        <v>167</v>
      </c>
      <c r="E12" s="436" t="s">
        <v>146</v>
      </c>
      <c r="F12" s="432">
        <v>160</v>
      </c>
      <c r="G12" s="432">
        <v>48</v>
      </c>
      <c r="H12" s="434">
        <v>0.85</v>
      </c>
      <c r="I12" s="432">
        <v>7000</v>
      </c>
      <c r="J12" s="434">
        <v>0.95</v>
      </c>
      <c r="K12" s="635">
        <f>IF(Redditività!$Q$31="si","xxxxxxx",($AK$21))</f>
        <v>4635</v>
      </c>
      <c r="L12" s="632">
        <f>IF([1]Redditività!$M$29="si","xxxxxxx",($U$39))</f>
        <v>2620</v>
      </c>
      <c r="M12" s="638">
        <f>IF(Redditività!$Q$31="si","xxxxxxx",(K12+L12))</f>
        <v>7255</v>
      </c>
      <c r="N12" s="584">
        <f t="shared" si="0"/>
        <v>0.16712277016069588</v>
      </c>
      <c r="O12" s="654">
        <f t="shared" si="3"/>
        <v>43411.199999999997</v>
      </c>
      <c r="P12" s="660">
        <f t="shared" si="4"/>
        <v>944.66145833333337</v>
      </c>
      <c r="Q12" s="9">
        <f t="shared" si="5"/>
        <v>7255</v>
      </c>
      <c r="X12" s="293">
        <f>($AK$21)</f>
        <v>4635</v>
      </c>
      <c r="Y12" s="323">
        <f>($U$39)</f>
        <v>2620</v>
      </c>
    </row>
    <row r="13" spans="2:39" ht="27.95" customHeight="1">
      <c r="B13" s="650">
        <f t="shared" si="1"/>
        <v>9.6</v>
      </c>
      <c r="C13" s="435">
        <f t="shared" si="2"/>
        <v>2829.48</v>
      </c>
      <c r="D13" s="436" t="s">
        <v>169</v>
      </c>
      <c r="E13" s="436" t="s">
        <v>145</v>
      </c>
      <c r="F13" s="432">
        <v>400</v>
      </c>
      <c r="G13" s="432">
        <v>24</v>
      </c>
      <c r="H13" s="434">
        <v>0.85</v>
      </c>
      <c r="I13" s="432">
        <v>7000</v>
      </c>
      <c r="J13" s="434">
        <v>0.95</v>
      </c>
      <c r="K13" s="635">
        <f>IF(Redditività!$Q$31="si","xxxxxxx",($AK$32))</f>
        <v>5605</v>
      </c>
      <c r="L13" s="632">
        <f>IF([1]Redditività!$M$29="si","xxxxxxx",($U$38))</f>
        <v>2535</v>
      </c>
      <c r="M13" s="638">
        <f>IF(Redditività!$Q$31="si","xxxxxxx",(K13+L13))</f>
        <v>8140</v>
      </c>
      <c r="N13" s="584">
        <f t="shared" si="0"/>
        <v>0.15000737136960046</v>
      </c>
      <c r="O13" s="654">
        <f t="shared" si="3"/>
        <v>54264</v>
      </c>
      <c r="P13" s="660">
        <f t="shared" si="4"/>
        <v>847.91666666666674</v>
      </c>
      <c r="Q13" s="9">
        <f t="shared" si="5"/>
        <v>8140</v>
      </c>
      <c r="X13" s="293">
        <f>($AK$32)</f>
        <v>5605</v>
      </c>
      <c r="Y13" s="323">
        <f>($U$38)</f>
        <v>2535</v>
      </c>
    </row>
    <row r="14" spans="2:39" ht="27.95" customHeight="1">
      <c r="B14" s="650">
        <f t="shared" si="1"/>
        <v>12.48</v>
      </c>
      <c r="C14" s="435">
        <f t="shared" si="2"/>
        <v>3678.3239999999996</v>
      </c>
      <c r="D14" s="436" t="s">
        <v>170</v>
      </c>
      <c r="E14" s="436" t="s">
        <v>146</v>
      </c>
      <c r="F14" s="432">
        <v>260</v>
      </c>
      <c r="G14" s="432">
        <v>48</v>
      </c>
      <c r="H14" s="434">
        <v>0.85</v>
      </c>
      <c r="I14" s="432">
        <v>7000</v>
      </c>
      <c r="J14" s="434">
        <v>0.95</v>
      </c>
      <c r="K14" s="635">
        <f>IF(Redditività!$Q$31="si","xxxxxxx",($AK$27))</f>
        <v>7402</v>
      </c>
      <c r="L14" s="632">
        <f>IF([1]Redditività!$M$29="si","xxxxxxx",($U$39))</f>
        <v>2620</v>
      </c>
      <c r="M14" s="638">
        <f>IF(Redditività!$Q$31="si","xxxxxxx",(K14+L14))</f>
        <v>10022</v>
      </c>
      <c r="N14" s="584">
        <f t="shared" si="0"/>
        <v>0.14206897333832319</v>
      </c>
      <c r="O14" s="654">
        <f t="shared" si="3"/>
        <v>70543.199999999997</v>
      </c>
      <c r="P14" s="660">
        <f t="shared" si="4"/>
        <v>803.04487179487182</v>
      </c>
      <c r="Q14" s="9">
        <f t="shared" si="5"/>
        <v>10022</v>
      </c>
      <c r="X14" s="293">
        <f>($AK$27)</f>
        <v>7402</v>
      </c>
      <c r="Y14" s="323">
        <f>($U$39)</f>
        <v>2620</v>
      </c>
    </row>
    <row r="15" spans="2:39" ht="27.95" customHeight="1">
      <c r="B15" s="650">
        <f t="shared" si="1"/>
        <v>14.4</v>
      </c>
      <c r="C15" s="435">
        <f t="shared" si="2"/>
        <v>4244.2199999999993</v>
      </c>
      <c r="D15" s="436" t="s">
        <v>171</v>
      </c>
      <c r="E15" s="436" t="s">
        <v>147</v>
      </c>
      <c r="F15" s="432">
        <v>300</v>
      </c>
      <c r="G15" s="432">
        <v>48</v>
      </c>
      <c r="H15" s="434">
        <v>0.85</v>
      </c>
      <c r="I15" s="432">
        <v>7000</v>
      </c>
      <c r="J15" s="434">
        <v>0.95</v>
      </c>
      <c r="K15" s="635">
        <f>IF(Redditività!$Q$31="si","xxxxxxx",($AK$30))</f>
        <v>8413</v>
      </c>
      <c r="L15" s="632">
        <f>IF([1]Redditività!$M$29="si","xxxxxxx",($U$41))</f>
        <v>4895</v>
      </c>
      <c r="M15" s="638">
        <f>IF(Redditività!$Q$31="si","xxxxxxx",(K15+L15))</f>
        <v>13308</v>
      </c>
      <c r="N15" s="584">
        <f t="shared" si="0"/>
        <v>0.16349697773846381</v>
      </c>
      <c r="O15" s="654">
        <f t="shared" si="3"/>
        <v>81396</v>
      </c>
      <c r="P15" s="660">
        <f t="shared" si="4"/>
        <v>924.16666666666663</v>
      </c>
      <c r="Q15" s="9">
        <f>X15+Y15</f>
        <v>13308</v>
      </c>
      <c r="X15" s="293">
        <f>($AK$30)</f>
        <v>8413</v>
      </c>
      <c r="Y15" s="323">
        <f>($U$41)</f>
        <v>4895</v>
      </c>
    </row>
    <row r="16" spans="2:39" ht="27.95" customHeight="1" thickBot="1">
      <c r="B16" s="655">
        <f t="shared" si="1"/>
        <v>19.2</v>
      </c>
      <c r="C16" s="664">
        <f t="shared" si="2"/>
        <v>5658.96</v>
      </c>
      <c r="D16" s="656" t="s">
        <v>172</v>
      </c>
      <c r="E16" s="656" t="s">
        <v>147</v>
      </c>
      <c r="F16" s="645">
        <v>400</v>
      </c>
      <c r="G16" s="645">
        <v>48</v>
      </c>
      <c r="H16" s="646">
        <v>0.85</v>
      </c>
      <c r="I16" s="645">
        <v>7000</v>
      </c>
      <c r="J16" s="646">
        <v>0.95</v>
      </c>
      <c r="K16" s="647">
        <f>IF(Redditività!$Q$31="si","xxxxxxx",($AK$33))</f>
        <v>11175</v>
      </c>
      <c r="L16" s="648">
        <f>IF([1]Redditività!$M$29="si","xxxxxxx",($U$41))</f>
        <v>4895</v>
      </c>
      <c r="M16" s="661">
        <f>IF(Redditività!$Q$31="si","xxxxxxx",(K16+L16))</f>
        <v>16070</v>
      </c>
      <c r="N16" s="662">
        <f t="shared" si="0"/>
        <v>0.14807238684947663</v>
      </c>
      <c r="O16" s="656">
        <f t="shared" si="3"/>
        <v>108528</v>
      </c>
      <c r="P16" s="663">
        <f t="shared" si="4"/>
        <v>836.97916666666674</v>
      </c>
      <c r="Q16" s="9">
        <f t="shared" si="5"/>
        <v>16070</v>
      </c>
      <c r="X16" s="293">
        <f>($AK$33)</f>
        <v>11175</v>
      </c>
      <c r="Y16" s="323">
        <f>($U$41)</f>
        <v>4895</v>
      </c>
    </row>
    <row r="17" spans="2:39" s="404" customFormat="1" ht="27.95" customHeight="1" thickTop="1" thickBot="1">
      <c r="B17" s="178"/>
      <c r="C17" s="5"/>
      <c r="D17" s="5"/>
      <c r="E17" s="882" t="s">
        <v>479</v>
      </c>
      <c r="F17" s="883"/>
      <c r="G17" s="883"/>
      <c r="H17" s="883"/>
      <c r="I17" s="883"/>
      <c r="J17" s="883"/>
      <c r="K17" s="883"/>
      <c r="L17" s="883"/>
      <c r="M17" s="884"/>
      <c r="N17" s="5"/>
      <c r="O17" s="5"/>
      <c r="P17" s="5"/>
      <c r="Q17" s="5"/>
      <c r="R17" s="652"/>
      <c r="S17" s="653"/>
      <c r="T17" s="5"/>
      <c r="U17" s="5"/>
      <c r="V17" s="5"/>
      <c r="W17" s="5"/>
      <c r="X17" s="449"/>
      <c r="Y17" s="450"/>
      <c r="Z17" s="5"/>
      <c r="AA17" s="5"/>
      <c r="AB17" s="5"/>
      <c r="AC17" s="5"/>
      <c r="AD17" s="5"/>
      <c r="AE17" s="5"/>
      <c r="AF17" s="5"/>
      <c r="AG17" s="5"/>
      <c r="AH17" s="9"/>
      <c r="AI17" s="177"/>
      <c r="AJ17" s="9"/>
      <c r="AK17" s="9"/>
      <c r="AL17" s="9"/>
      <c r="AM17" s="9"/>
    </row>
    <row r="18" spans="2:39" s="404" customFormat="1" ht="27.95" customHeight="1">
      <c r="B18" s="178"/>
      <c r="C18" s="445"/>
      <c r="D18" s="439"/>
      <c r="E18" s="439"/>
      <c r="F18" s="178"/>
      <c r="G18" s="178"/>
      <c r="H18" s="446"/>
      <c r="I18" s="178"/>
      <c r="J18" s="446"/>
      <c r="K18" s="447"/>
      <c r="L18" s="448"/>
      <c r="M18" s="448"/>
      <c r="N18" s="438"/>
      <c r="O18" s="439"/>
      <c r="P18" s="439"/>
      <c r="Q18" s="5"/>
      <c r="R18" s="5"/>
      <c r="S18" s="5"/>
      <c r="T18" s="5"/>
      <c r="U18" s="5"/>
      <c r="V18" s="5"/>
      <c r="W18" s="5"/>
      <c r="X18" s="449"/>
      <c r="Y18" s="450"/>
      <c r="Z18" s="5"/>
      <c r="AA18" s="5"/>
      <c r="AB18" s="5"/>
      <c r="AC18" s="5"/>
      <c r="AD18" s="5"/>
      <c r="AE18" s="5"/>
      <c r="AF18" s="5"/>
      <c r="AG18" s="5"/>
      <c r="AH18" s="292"/>
      <c r="AI18" s="178"/>
      <c r="AJ18" s="6" t="s">
        <v>143</v>
      </c>
      <c r="AK18" s="291" t="s">
        <v>173</v>
      </c>
      <c r="AL18" s="9"/>
      <c r="AM18" s="9"/>
    </row>
    <row r="19" spans="2:39" ht="18" hidden="1">
      <c r="B19" s="178"/>
      <c r="C19" s="880" t="s">
        <v>426</v>
      </c>
      <c r="D19" s="881"/>
      <c r="E19" s="881"/>
      <c r="F19" s="881"/>
      <c r="G19" s="881"/>
      <c r="H19" s="881"/>
      <c r="I19" s="881"/>
      <c r="J19" s="881"/>
      <c r="K19" s="881"/>
      <c r="L19" s="448"/>
      <c r="M19" s="448"/>
      <c r="N19" s="438"/>
      <c r="O19" s="439"/>
      <c r="P19" s="439"/>
      <c r="R19" s="5"/>
      <c r="S19" s="5"/>
      <c r="T19" s="5"/>
      <c r="U19" s="5"/>
      <c r="AH19" s="9">
        <v>12</v>
      </c>
      <c r="AI19" s="177">
        <v>160</v>
      </c>
      <c r="AJ19" s="293">
        <f t="shared" ref="AJ19:AJ32" si="6">AI19*AH19:AH20</f>
        <v>1920</v>
      </c>
      <c r="AK19" s="59">
        <v>1242</v>
      </c>
      <c r="AL19" s="5"/>
    </row>
    <row r="20" spans="2:39" ht="20.100000000000001" hidden="1" customHeight="1">
      <c r="B20" s="449"/>
      <c r="C20" s="449"/>
      <c r="D20" s="5"/>
      <c r="E20" s="5"/>
      <c r="F20" s="449"/>
      <c r="G20" s="449"/>
      <c r="H20" s="449"/>
      <c r="I20" s="449"/>
      <c r="J20" s="449"/>
      <c r="K20" s="454"/>
      <c r="L20" s="454"/>
      <c r="M20" s="455"/>
      <c r="N20" s="295"/>
      <c r="O20" s="5"/>
      <c r="P20" s="5"/>
      <c r="AH20" s="9">
        <v>24</v>
      </c>
      <c r="AI20" s="177">
        <v>160</v>
      </c>
      <c r="AJ20" s="293">
        <f>AI20*AH20:AH21</f>
        <v>3840</v>
      </c>
      <c r="AK20" s="59">
        <v>2467</v>
      </c>
      <c r="AL20" s="6"/>
    </row>
    <row r="21" spans="2:39" ht="60" hidden="1">
      <c r="B21" s="324">
        <f>F21*G21</f>
        <v>24960</v>
      </c>
      <c r="C21" s="324">
        <f>B21*365*0.9*0.95/1000</f>
        <v>7789.3919999999998</v>
      </c>
      <c r="D21" s="325" t="s">
        <v>337</v>
      </c>
      <c r="E21" s="325" t="s">
        <v>336</v>
      </c>
      <c r="F21" s="324">
        <v>520</v>
      </c>
      <c r="G21" s="324">
        <v>48</v>
      </c>
      <c r="H21" s="452">
        <v>0.9</v>
      </c>
      <c r="I21" s="432">
        <v>7000</v>
      </c>
      <c r="J21" s="452">
        <v>0.95</v>
      </c>
      <c r="K21" s="326"/>
      <c r="L21" s="453">
        <f>IF([1]Redditività!$M$29="si","xxxxxxx",($U$42))</f>
        <v>5890</v>
      </c>
      <c r="M21" s="585">
        <f>IF(Redditività!$Q$31="si","xxxxxxx",(K21+L21))</f>
        <v>5890</v>
      </c>
      <c r="O21" s="642"/>
      <c r="P21" s="439"/>
      <c r="Q21" s="641" t="s">
        <v>362</v>
      </c>
      <c r="AH21" s="9">
        <v>48</v>
      </c>
      <c r="AI21" s="177">
        <v>160</v>
      </c>
      <c r="AJ21" s="293">
        <f t="shared" si="6"/>
        <v>7680</v>
      </c>
      <c r="AK21" s="59">
        <v>4635</v>
      </c>
      <c r="AL21" s="5"/>
    </row>
    <row r="22" spans="2:39" ht="18" hidden="1">
      <c r="B22" s="185">
        <f>F22*G22</f>
        <v>28800</v>
      </c>
      <c r="C22" s="185">
        <f>B22*365*0.9*0.95/1000</f>
        <v>8987.76</v>
      </c>
      <c r="D22" s="278" t="s">
        <v>340</v>
      </c>
      <c r="E22" s="278" t="s">
        <v>336</v>
      </c>
      <c r="F22" s="185">
        <v>600</v>
      </c>
      <c r="G22" s="185">
        <v>48</v>
      </c>
      <c r="H22" s="318">
        <v>0.9</v>
      </c>
      <c r="I22" s="432">
        <v>7000</v>
      </c>
      <c r="J22" s="318">
        <v>0.95</v>
      </c>
      <c r="K22" s="327"/>
      <c r="L22" s="321">
        <f>IF([1]Redditività!$M$29="si","xxxxxxx",($U$42))</f>
        <v>5890</v>
      </c>
      <c r="M22" s="585">
        <f>IF(Redditività!$Q$31="si","xxxxxxx",(K22+L22))</f>
        <v>5890</v>
      </c>
      <c r="N22" s="641"/>
      <c r="O22" s="642"/>
      <c r="P22" s="439"/>
      <c r="AH22" s="9">
        <v>12</v>
      </c>
      <c r="AI22" s="178">
        <v>200</v>
      </c>
      <c r="AJ22" s="293">
        <f t="shared" si="6"/>
        <v>2400</v>
      </c>
      <c r="AK22" s="60">
        <v>1493</v>
      </c>
      <c r="AL22" s="5"/>
    </row>
    <row r="23" spans="2:39" ht="18.75" hidden="1" thickBot="1">
      <c r="B23" s="185">
        <f>F23*G23</f>
        <v>33600</v>
      </c>
      <c r="C23" s="185">
        <f>B23*365*0.9*0.95/1000</f>
        <v>10485.719999999999</v>
      </c>
      <c r="D23" s="278" t="s">
        <v>338</v>
      </c>
      <c r="E23" s="278" t="s">
        <v>336</v>
      </c>
      <c r="F23" s="185">
        <v>700</v>
      </c>
      <c r="G23" s="185">
        <v>48</v>
      </c>
      <c r="H23" s="318">
        <v>0.9</v>
      </c>
      <c r="I23" s="432">
        <v>7000</v>
      </c>
      <c r="J23" s="318">
        <v>0.95</v>
      </c>
      <c r="K23" s="327"/>
      <c r="L23" s="321">
        <f>IF([1]Redditività!$M$29="si","xxxxxxx",($U$42))</f>
        <v>5890</v>
      </c>
      <c r="M23" s="586">
        <f>IF(Redditività!$Q$31="si","xxxxxxx",(K23+L23))</f>
        <v>5890</v>
      </c>
      <c r="N23" s="641"/>
      <c r="O23" s="642"/>
      <c r="P23" s="439"/>
      <c r="AH23" s="9">
        <v>24</v>
      </c>
      <c r="AI23" s="178">
        <v>200</v>
      </c>
      <c r="AJ23" s="293">
        <f t="shared" si="6"/>
        <v>4800</v>
      </c>
      <c r="AK23" s="60">
        <v>2956</v>
      </c>
      <c r="AL23" s="5"/>
    </row>
    <row r="24" spans="2:39" ht="16.5" hidden="1" thickTop="1" thickBot="1">
      <c r="B24" s="185">
        <f>F24*G24</f>
        <v>38400</v>
      </c>
      <c r="C24" s="185">
        <f>B24*365*0.9*0.95/1000</f>
        <v>11983.68</v>
      </c>
      <c r="D24" s="278" t="s">
        <v>339</v>
      </c>
      <c r="E24" s="278" t="s">
        <v>336</v>
      </c>
      <c r="F24" s="185">
        <v>800</v>
      </c>
      <c r="G24" s="185">
        <v>48</v>
      </c>
      <c r="H24" s="318">
        <v>0.9</v>
      </c>
      <c r="I24" s="432">
        <v>7000</v>
      </c>
      <c r="J24" s="318">
        <v>0.95</v>
      </c>
      <c r="K24" s="327"/>
      <c r="L24" s="321">
        <f>IF([1]Redditività!$M$29="si","xxxxxxx",($U$42))</f>
        <v>5890</v>
      </c>
      <c r="M24" s="328"/>
      <c r="N24" s="643"/>
      <c r="O24" s="644"/>
      <c r="P24" s="439"/>
      <c r="AH24" s="9">
        <v>48</v>
      </c>
      <c r="AI24" s="178">
        <v>200</v>
      </c>
      <c r="AJ24" s="293">
        <f t="shared" si="6"/>
        <v>9600</v>
      </c>
      <c r="AK24" s="60">
        <v>5535</v>
      </c>
      <c r="AL24" s="5"/>
    </row>
    <row r="25" spans="2:39" hidden="1">
      <c r="B25" s="185"/>
      <c r="C25" s="278"/>
      <c r="D25" s="278"/>
      <c r="E25" s="278"/>
      <c r="F25" s="185"/>
      <c r="G25" s="185"/>
      <c r="H25" s="318"/>
      <c r="I25" s="185"/>
      <c r="J25" s="318"/>
      <c r="K25" s="327"/>
      <c r="L25" s="278"/>
      <c r="M25" s="185"/>
      <c r="AH25" s="9">
        <v>12</v>
      </c>
      <c r="AI25" s="178">
        <v>260</v>
      </c>
      <c r="AJ25" s="293">
        <f t="shared" si="6"/>
        <v>3120</v>
      </c>
      <c r="AK25" s="60">
        <v>1918</v>
      </c>
      <c r="AL25" s="5"/>
    </row>
    <row r="26" spans="2:39" hidden="1">
      <c r="B26" s="329">
        <f>F26*G26</f>
        <v>8640</v>
      </c>
      <c r="C26" s="329">
        <f>B26*365*H26*J26/1000</f>
        <v>1497.96</v>
      </c>
      <c r="D26" s="330" t="s">
        <v>348</v>
      </c>
      <c r="E26" s="330" t="s">
        <v>349</v>
      </c>
      <c r="F26" s="331">
        <v>180</v>
      </c>
      <c r="G26" s="331">
        <v>48</v>
      </c>
      <c r="H26" s="332">
        <v>0.5</v>
      </c>
      <c r="I26" s="331">
        <v>500</v>
      </c>
      <c r="J26" s="332">
        <v>0.95</v>
      </c>
      <c r="K26" s="333">
        <v>1800</v>
      </c>
      <c r="L26" s="334">
        <v>900</v>
      </c>
      <c r="M26" s="335">
        <f>K26+L26</f>
        <v>2700</v>
      </c>
      <c r="N26" s="336">
        <f>M26/I26/C26*365</f>
        <v>1.3157894736842106</v>
      </c>
      <c r="O26" s="337">
        <f>B26*H26*J26*I26/1000</f>
        <v>2052</v>
      </c>
      <c r="P26" s="337"/>
      <c r="AH26" s="9">
        <v>24</v>
      </c>
      <c r="AI26" s="178">
        <v>260</v>
      </c>
      <c r="AJ26" s="293">
        <f t="shared" si="6"/>
        <v>6240</v>
      </c>
      <c r="AK26" s="60">
        <v>3809</v>
      </c>
      <c r="AL26" s="5"/>
    </row>
    <row r="27" spans="2:39" ht="45" hidden="1" customHeight="1">
      <c r="B27" s="185"/>
      <c r="C27" s="185"/>
      <c r="D27" s="278"/>
      <c r="E27" s="278"/>
      <c r="F27" s="185"/>
      <c r="G27" s="185"/>
      <c r="H27" s="185"/>
      <c r="I27" s="185"/>
      <c r="J27" s="185"/>
      <c r="K27" s="319"/>
      <c r="L27" s="319"/>
      <c r="M27" s="327"/>
      <c r="N27" s="295"/>
      <c r="AH27" s="9">
        <v>48</v>
      </c>
      <c r="AI27" s="178">
        <v>260</v>
      </c>
      <c r="AJ27" s="293">
        <f t="shared" si="6"/>
        <v>12480</v>
      </c>
      <c r="AK27" s="60">
        <v>7402</v>
      </c>
      <c r="AL27" s="338"/>
    </row>
    <row r="28" spans="2:39" hidden="1">
      <c r="B28" s="185"/>
      <c r="C28" s="185"/>
      <c r="D28" s="278"/>
      <c r="E28" s="278"/>
      <c r="F28" s="185"/>
      <c r="G28" s="185"/>
      <c r="H28" s="185"/>
      <c r="I28" s="185"/>
      <c r="J28" s="185"/>
      <c r="K28" s="319"/>
      <c r="L28" s="319"/>
      <c r="M28" s="327"/>
      <c r="N28" s="295"/>
      <c r="AH28" s="9">
        <v>12</v>
      </c>
      <c r="AI28" s="178">
        <v>300</v>
      </c>
      <c r="AJ28" s="293">
        <f t="shared" si="6"/>
        <v>3600</v>
      </c>
      <c r="AK28" s="60">
        <v>2194</v>
      </c>
    </row>
    <row r="29" spans="2:39" hidden="1">
      <c r="B29" s="320"/>
      <c r="C29" s="278"/>
      <c r="D29" s="278"/>
      <c r="E29" s="54"/>
      <c r="F29" s="185"/>
      <c r="G29" s="322"/>
      <c r="H29" s="322"/>
      <c r="I29" s="322"/>
      <c r="J29" s="322"/>
      <c r="K29" s="327"/>
      <c r="L29" s="278"/>
      <c r="M29" s="185"/>
      <c r="AH29" s="9">
        <v>24</v>
      </c>
      <c r="AI29" s="179">
        <v>300</v>
      </c>
      <c r="AJ29" s="293">
        <f t="shared" si="6"/>
        <v>7200</v>
      </c>
      <c r="AK29" s="60">
        <v>4352</v>
      </c>
    </row>
    <row r="30" spans="2:39" hidden="1">
      <c r="B30" s="327"/>
      <c r="C30" s="879" t="s">
        <v>361</v>
      </c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AH30" s="9">
        <v>48</v>
      </c>
      <c r="AI30" s="179">
        <v>300</v>
      </c>
      <c r="AJ30" s="293">
        <f t="shared" si="6"/>
        <v>14400</v>
      </c>
      <c r="AK30" s="60">
        <v>8413</v>
      </c>
    </row>
    <row r="31" spans="2:39" hidden="1">
      <c r="B31" s="327"/>
      <c r="C31" s="190"/>
      <c r="D31" s="191"/>
      <c r="E31" s="192"/>
      <c r="F31" s="185"/>
      <c r="G31" s="322"/>
      <c r="H31" s="322"/>
      <c r="I31" s="322"/>
      <c r="J31" s="322"/>
      <c r="K31" s="54"/>
      <c r="L31" s="327"/>
      <c r="M31" s="185"/>
      <c r="S31" s="39"/>
      <c r="AH31" s="9">
        <v>12</v>
      </c>
      <c r="AI31" s="179">
        <v>400</v>
      </c>
      <c r="AJ31" s="293">
        <f t="shared" si="6"/>
        <v>4800</v>
      </c>
      <c r="AK31" s="60">
        <v>2907</v>
      </c>
    </row>
    <row r="32" spans="2:39" hidden="1">
      <c r="AH32" s="9">
        <v>24</v>
      </c>
      <c r="AI32" s="178">
        <v>400</v>
      </c>
      <c r="AJ32" s="293">
        <f t="shared" si="6"/>
        <v>9600</v>
      </c>
      <c r="AK32" s="60">
        <v>5605</v>
      </c>
    </row>
    <row r="33" spans="2:38" hidden="1">
      <c r="T33" s="66"/>
      <c r="U33" s="293"/>
      <c r="V33" s="293"/>
      <c r="W33" s="293"/>
      <c r="X33" s="293"/>
      <c r="AH33" s="9">
        <v>48</v>
      </c>
      <c r="AI33" s="179">
        <v>400</v>
      </c>
      <c r="AJ33" s="293">
        <f>AI33*AH33:AH37</f>
        <v>19200</v>
      </c>
      <c r="AK33" s="59">
        <v>11175</v>
      </c>
      <c r="AL33" s="295"/>
    </row>
    <row r="34" spans="2:38" ht="20.25" hidden="1">
      <c r="E34" s="340" t="s">
        <v>305</v>
      </c>
      <c r="R34" s="341" t="s">
        <v>341</v>
      </c>
      <c r="S34" s="341" t="s">
        <v>342</v>
      </c>
      <c r="T34" s="342" t="s">
        <v>343</v>
      </c>
      <c r="U34" s="343" t="s">
        <v>344</v>
      </c>
      <c r="Y34" s="9">
        <v>0</v>
      </c>
      <c r="AI34" s="179"/>
      <c r="AJ34" s="293"/>
      <c r="AK34" s="59"/>
      <c r="AL34" s="339"/>
    </row>
    <row r="35" spans="2:38" hidden="1">
      <c r="B35" s="9">
        <v>4800.0000099999997</v>
      </c>
      <c r="C35" s="9">
        <v>1497.9600031207497</v>
      </c>
      <c r="D35" s="9" t="s">
        <v>163</v>
      </c>
      <c r="E35" s="9" t="s">
        <v>145</v>
      </c>
      <c r="F35" s="39">
        <v>200</v>
      </c>
      <c r="G35" s="39">
        <v>24</v>
      </c>
      <c r="H35" s="39"/>
      <c r="I35" s="39"/>
      <c r="J35" s="39"/>
      <c r="K35" s="9">
        <v>0</v>
      </c>
      <c r="L35" s="9">
        <v>0</v>
      </c>
      <c r="M35" s="39">
        <v>0</v>
      </c>
      <c r="N35" s="39">
        <v>0.29382066215590491</v>
      </c>
      <c r="R35" s="341"/>
      <c r="S35" s="341"/>
      <c r="T35" s="341"/>
      <c r="U35" s="343"/>
      <c r="Y35" s="9">
        <f>$CP$37</f>
        <v>0</v>
      </c>
      <c r="AH35" s="292"/>
      <c r="AK35" s="291"/>
      <c r="AL35" s="339"/>
    </row>
    <row r="36" spans="2:38" ht="14.25" hidden="1">
      <c r="B36" s="185">
        <f>F36*G36</f>
        <v>9600</v>
      </c>
      <c r="C36" s="320">
        <f>B36*365*0.9*0.95/1000</f>
        <v>2995.92</v>
      </c>
      <c r="D36" s="278" t="s">
        <v>168</v>
      </c>
      <c r="E36" s="278" t="s">
        <v>146</v>
      </c>
      <c r="F36" s="185">
        <v>200</v>
      </c>
      <c r="G36" s="185">
        <v>48</v>
      </c>
      <c r="H36" s="185"/>
      <c r="I36" s="185"/>
      <c r="J36" s="185"/>
      <c r="K36" s="319">
        <f>$CW$15</f>
        <v>0</v>
      </c>
      <c r="L36" s="319">
        <f>$CP$37</f>
        <v>0</v>
      </c>
      <c r="M36" s="327">
        <f>K36+L36</f>
        <v>0</v>
      </c>
      <c r="N36" s="322">
        <f>M36/5000/C36*365</f>
        <v>0</v>
      </c>
      <c r="R36" s="341" t="s">
        <v>175</v>
      </c>
      <c r="S36" s="341">
        <v>900</v>
      </c>
      <c r="T36" s="343">
        <v>12</v>
      </c>
      <c r="U36" s="181">
        <v>1255</v>
      </c>
      <c r="AH36" s="292"/>
      <c r="AI36" s="9"/>
    </row>
    <row r="37" spans="2:38" ht="14.25" hidden="1">
      <c r="B37" s="9">
        <f>B34+B35+IF($B$29="0",0,$B$36)</f>
        <v>14400.00001</v>
      </c>
      <c r="R37" s="341" t="s">
        <v>140</v>
      </c>
      <c r="S37" s="341">
        <v>2000</v>
      </c>
      <c r="T37" s="343">
        <v>12</v>
      </c>
      <c r="U37" s="181">
        <v>2455</v>
      </c>
      <c r="AI37" s="9"/>
    </row>
    <row r="38" spans="2:38" ht="14.25" hidden="1">
      <c r="R38" s="341" t="s">
        <v>140</v>
      </c>
      <c r="S38" s="341">
        <v>3500</v>
      </c>
      <c r="T38" s="343">
        <v>24</v>
      </c>
      <c r="U38" s="181">
        <v>2535</v>
      </c>
      <c r="AI38" s="9"/>
    </row>
    <row r="39" spans="2:38" ht="14.25" hidden="1">
      <c r="R39" s="341" t="s">
        <v>140</v>
      </c>
      <c r="S39" s="341">
        <v>4000</v>
      </c>
      <c r="T39" s="343">
        <v>48</v>
      </c>
      <c r="U39" s="181">
        <v>2620</v>
      </c>
      <c r="AH39" s="344"/>
      <c r="AI39" s="9"/>
    </row>
    <row r="40" spans="2:38" ht="14.25" hidden="1">
      <c r="R40" s="341" t="s">
        <v>141</v>
      </c>
      <c r="S40" s="341">
        <v>5000</v>
      </c>
      <c r="T40" s="343">
        <v>24</v>
      </c>
      <c r="U40" s="181">
        <v>4305</v>
      </c>
      <c r="AH40" s="344"/>
      <c r="AI40" s="9"/>
    </row>
    <row r="41" spans="2:38" ht="14.25" hidden="1">
      <c r="R41" s="341" t="s">
        <v>141</v>
      </c>
      <c r="S41" s="341">
        <v>6000</v>
      </c>
      <c r="T41" s="343">
        <v>48</v>
      </c>
      <c r="U41" s="181">
        <v>4895</v>
      </c>
      <c r="AH41" s="344"/>
      <c r="AI41" s="9"/>
    </row>
    <row r="42" spans="2:38" ht="14.25" hidden="1">
      <c r="R42" s="341" t="s">
        <v>141</v>
      </c>
      <c r="S42" s="341">
        <v>8000</v>
      </c>
      <c r="T42" s="343">
        <v>48</v>
      </c>
      <c r="U42" s="181">
        <v>5890</v>
      </c>
      <c r="AH42" s="344"/>
      <c r="AI42" s="9"/>
    </row>
    <row r="43" spans="2:38" ht="12.75" hidden="1">
      <c r="U43" s="323"/>
      <c r="V43" s="323"/>
      <c r="W43" s="323"/>
      <c r="X43" s="323"/>
      <c r="AH43" s="344"/>
      <c r="AI43" s="9"/>
    </row>
    <row r="44" spans="2:38" ht="12.75" hidden="1">
      <c r="U44" s="344"/>
      <c r="V44" s="344"/>
      <c r="W44" s="344"/>
      <c r="X44" s="344"/>
      <c r="AH44" s="344"/>
      <c r="AI44" s="9"/>
    </row>
    <row r="45" spans="2:38" hidden="1">
      <c r="AH45" s="344"/>
    </row>
    <row r="46" spans="2:38" hidden="1">
      <c r="AH46" s="344"/>
    </row>
    <row r="47" spans="2:38" hidden="1">
      <c r="AJ47" s="344"/>
      <c r="AK47" s="344"/>
    </row>
    <row r="48" spans="2:38" hidden="1">
      <c r="AJ48" s="344"/>
      <c r="AK48" s="344"/>
    </row>
    <row r="49" spans="21:38" hidden="1">
      <c r="AJ49" s="344"/>
      <c r="AK49" s="344"/>
    </row>
    <row r="50" spans="21:38" hidden="1">
      <c r="AJ50" s="344"/>
      <c r="AK50" s="344"/>
    </row>
    <row r="51" spans="21:38" hidden="1">
      <c r="AJ51" s="344"/>
      <c r="AK51" s="344"/>
    </row>
    <row r="52" spans="21:38" hidden="1">
      <c r="AJ52" s="344"/>
      <c r="AK52" s="344"/>
    </row>
    <row r="53" spans="21:38" hidden="1">
      <c r="AJ53" s="344"/>
      <c r="AK53" s="344"/>
    </row>
    <row r="54" spans="21:38" hidden="1">
      <c r="AJ54" s="344"/>
      <c r="AK54" s="344"/>
    </row>
    <row r="55" spans="21:38" hidden="1">
      <c r="AJ55" s="344"/>
      <c r="AK55" s="344"/>
    </row>
    <row r="56" spans="21:38" hidden="1">
      <c r="AJ56" s="344"/>
      <c r="AK56" s="344"/>
    </row>
    <row r="57" spans="21:38" hidden="1">
      <c r="AJ57" s="344"/>
      <c r="AK57" s="344"/>
    </row>
    <row r="58" spans="21:38" hidden="1">
      <c r="AJ58" s="344"/>
      <c r="AK58" s="344"/>
    </row>
    <row r="59" spans="21:38" hidden="1"/>
    <row r="60" spans="21:38" hidden="1">
      <c r="U60" s="39"/>
      <c r="V60" s="39"/>
      <c r="W60" s="39"/>
      <c r="X60" s="39"/>
      <c r="AL60" s="39"/>
    </row>
    <row r="61" spans="21:38" hidden="1">
      <c r="U61" s="345"/>
      <c r="V61" s="346"/>
      <c r="W61" s="346"/>
      <c r="X61" s="346"/>
    </row>
    <row r="62" spans="21:38" hidden="1">
      <c r="AH62" s="39"/>
    </row>
    <row r="63" spans="21:38" hidden="1">
      <c r="AH63" s="347"/>
      <c r="AK63" s="39"/>
    </row>
    <row r="64" spans="21:38" hidden="1">
      <c r="AK64" s="39"/>
    </row>
    <row r="65" spans="8:37" hidden="1">
      <c r="AK65" s="39"/>
    </row>
    <row r="66" spans="8:37" hidden="1">
      <c r="AI66" s="180"/>
      <c r="AJ66" s="39"/>
    </row>
    <row r="67" spans="8:37" hidden="1">
      <c r="H67" s="293"/>
      <c r="I67" s="293"/>
      <c r="M67" s="323"/>
      <c r="U67" s="39"/>
      <c r="V67" s="39"/>
      <c r="W67" s="39"/>
      <c r="X67" s="39"/>
      <c r="AI67" s="180"/>
      <c r="AJ67" s="39"/>
    </row>
    <row r="68" spans="8:37" hidden="1">
      <c r="H68" s="293"/>
      <c r="I68" s="293"/>
      <c r="M68" s="323"/>
      <c r="U68" s="39"/>
      <c r="V68" s="39"/>
      <c r="W68" s="39"/>
      <c r="X68" s="39"/>
      <c r="AI68" s="180"/>
      <c r="AJ68" s="39"/>
    </row>
    <row r="69" spans="8:37" hidden="1">
      <c r="H69" s="293"/>
      <c r="I69" s="293"/>
      <c r="M69" s="323"/>
      <c r="U69" s="39"/>
      <c r="V69" s="39"/>
      <c r="W69" s="39"/>
      <c r="X69" s="39"/>
      <c r="AH69" s="39"/>
    </row>
    <row r="70" spans="8:37" hidden="1">
      <c r="H70" s="293"/>
      <c r="I70" s="293"/>
      <c r="M70" s="323"/>
      <c r="U70" s="39"/>
      <c r="V70" s="39"/>
      <c r="W70" s="39"/>
      <c r="X70" s="39"/>
      <c r="AH70" s="39"/>
    </row>
    <row r="71" spans="8:37" hidden="1">
      <c r="H71" s="293"/>
      <c r="M71" s="323"/>
      <c r="U71" s="39"/>
      <c r="V71" s="39"/>
      <c r="W71" s="39"/>
      <c r="X71" s="39"/>
      <c r="AH71" s="39"/>
    </row>
    <row r="72" spans="8:37" hidden="1">
      <c r="H72" s="293"/>
      <c r="M72" s="323"/>
      <c r="AH72" s="39"/>
    </row>
    <row r="73" spans="8:37" hidden="1">
      <c r="H73" s="293"/>
      <c r="M73" s="323"/>
      <c r="AH73" s="39"/>
    </row>
    <row r="74" spans="8:37" hidden="1">
      <c r="H74" s="293"/>
      <c r="M74" s="323"/>
    </row>
    <row r="75" spans="8:37" hidden="1">
      <c r="H75" s="293"/>
      <c r="M75" s="323"/>
    </row>
    <row r="76" spans="8:37" hidden="1">
      <c r="H76" s="293"/>
      <c r="M76" s="323"/>
    </row>
    <row r="77" spans="8:37" hidden="1">
      <c r="H77" s="293"/>
      <c r="M77" s="323"/>
    </row>
    <row r="78" spans="8:37" hidden="1">
      <c r="H78" s="293"/>
      <c r="M78" s="323"/>
    </row>
    <row r="79" spans="8:37" hidden="1">
      <c r="H79" s="293"/>
      <c r="M79" s="323"/>
    </row>
    <row r="80" spans="8:37" hidden="1">
      <c r="H80" s="293"/>
    </row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20" spans="36:37">
      <c r="AK120" s="59"/>
    </row>
    <row r="123" spans="36:37">
      <c r="AJ123" s="293"/>
    </row>
  </sheetData>
  <sheetProtection password="DBEB" sheet="1" objects="1" scenarios="1"/>
  <protectedRanges>
    <protectedRange password="E540" sqref="E26:L26" name="Intervallo1"/>
  </protectedRanges>
  <dataConsolidate/>
  <mergeCells count="3">
    <mergeCell ref="C30:N30"/>
    <mergeCell ref="C19:K19"/>
    <mergeCell ref="E17:M17"/>
  </mergeCells>
  <phoneticPr fontId="2" type="noConversion"/>
  <dataValidations count="1">
    <dataValidation type="textLength" allowBlank="1" showInputMessage="1" showErrorMessage="1" sqref="AL1:XFD1048576 A1:A1048576 T1:AJ1048576 Q1:S16 Q18:S1048576">
      <formula1>1000</formula1>
      <formula2>1000</formula2>
    </dataValidation>
  </dataValidations>
  <pageMargins left="0.48" right="0.38" top="0.53" bottom="0.19" header="0.24" footer="0.19685039370078741"/>
  <pageSetup paperSize="9" scale="67" orientation="landscape" r:id="rId1"/>
  <headerFooter alignWithMargins="0">
    <oddHeader>&amp;Ctratto da www.solar-power24.eu</oddHeader>
    <oddFooter>&amp;C&amp;P/&amp;N</oddFooter>
  </headerFooter>
  <cellWatches>
    <cellWatch r="N29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Istruzioni</vt:lpstr>
      <vt:lpstr>FOGLIO RACCOLTA DATI DI CONSUMO</vt:lpstr>
      <vt:lpstr>calcolo bolletta SOLO CONSULTAZ</vt:lpstr>
      <vt:lpstr>Redditività</vt:lpstr>
      <vt:lpstr>GUIDA dimensionamento ACCUMULO</vt:lpstr>
      <vt:lpstr>gamma celle</vt:lpstr>
      <vt:lpstr>'calcolo bolletta SOLO CONSULTAZ'!Area_stampa</vt:lpstr>
      <vt:lpstr>'FOGLIO RACCOLTA DATI DI CONSUMO'!Area_stampa</vt:lpstr>
      <vt:lpstr>'gamma celle'!Area_stampa</vt:lpstr>
      <vt:lpstr>'GUIDA dimensionamento ACCUMULO'!Area_stampa</vt:lpstr>
      <vt:lpstr>Istruzioni!Area_stampa</vt:lpstr>
      <vt:lpstr>Redditività!Area_stampa</vt:lpstr>
    </vt:vector>
  </TitlesOfParts>
  <Company>xyz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2016-05-16T10:02:19Z</cp:lastPrinted>
  <dcterms:created xsi:type="dcterms:W3CDTF">2010-01-19T00:17:31Z</dcterms:created>
  <dcterms:modified xsi:type="dcterms:W3CDTF">2016-05-16T10:12:02Z</dcterms:modified>
</cp:coreProperties>
</file>